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500" windowWidth="15600" windowHeight="11000" activeTab="0"/>
  </bookViews>
  <sheets>
    <sheet name="Calculator" sheetId="1" r:id="rId1"/>
    <sheet name="Density &amp; Volume" sheetId="2" state="hidden" r:id="rId2"/>
  </sheets>
  <definedNames/>
  <calcPr fullCalcOnLoad="1"/>
</workbook>
</file>

<file path=xl/sharedStrings.xml><?xml version="1.0" encoding="utf-8"?>
<sst xmlns="http://schemas.openxmlformats.org/spreadsheetml/2006/main" count="118" uniqueCount="84">
  <si>
    <t>Line Sizes</t>
  </si>
  <si>
    <t>3/8"</t>
  </si>
  <si>
    <t>1/2"</t>
  </si>
  <si>
    <t>5/8"</t>
  </si>
  <si>
    <t>7/8"</t>
  </si>
  <si>
    <t>1-1/8"</t>
  </si>
  <si>
    <t>1-3/8"</t>
  </si>
  <si>
    <t>1-5/8"</t>
  </si>
  <si>
    <t>2-1/8"</t>
  </si>
  <si>
    <t>2-5/8"</t>
  </si>
  <si>
    <t>3-1/8"</t>
  </si>
  <si>
    <t>3-5/8"</t>
  </si>
  <si>
    <t>4-1/8"</t>
  </si>
  <si>
    <t>LBS of Refrigerant</t>
  </si>
  <si>
    <t>Refrigerant Type:</t>
  </si>
  <si>
    <t>Refrigerants</t>
  </si>
  <si>
    <t>R-22</t>
  </si>
  <si>
    <t>R-404A</t>
  </si>
  <si>
    <t>R-134A</t>
  </si>
  <si>
    <t>R-402A</t>
  </si>
  <si>
    <t>Temperature</t>
  </si>
  <si>
    <r>
      <t>(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F)</t>
    </r>
  </si>
  <si>
    <t>Application</t>
  </si>
  <si>
    <t>Application:</t>
  </si>
  <si>
    <t>HVAC</t>
  </si>
  <si>
    <t>Confirmation</t>
  </si>
  <si>
    <t>YES</t>
  </si>
  <si>
    <t>NO</t>
  </si>
  <si>
    <t>Circuit #</t>
  </si>
  <si>
    <t>Reclaim Circuit #1</t>
  </si>
  <si>
    <t>Reclaim Circuit #2</t>
  </si>
  <si>
    <t>Reclaim Circuit #3</t>
  </si>
  <si>
    <t>Location</t>
  </si>
  <si>
    <t>N/A</t>
  </si>
  <si>
    <t xml:space="preserve"> Space/HW Reclaim Lines</t>
  </si>
  <si>
    <t>LBS</t>
  </si>
  <si>
    <t>of Refrigerant</t>
  </si>
  <si>
    <t>Refrigerant Charge Estimator</t>
  </si>
  <si>
    <t>Receiver</t>
  </si>
  <si>
    <r>
      <t>Liquid Density (lb/ft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</si>
  <si>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Liquid Manifold</t>
  </si>
  <si>
    <t>Condenser Charge</t>
  </si>
  <si>
    <t>1 x 2</t>
  </si>
  <si>
    <t>1 x 3</t>
  </si>
  <si>
    <t>1 x 4</t>
  </si>
  <si>
    <t>1 x 5</t>
  </si>
  <si>
    <t>1 x 6</t>
  </si>
  <si>
    <t>2 x 2</t>
  </si>
  <si>
    <t>2 x 3</t>
  </si>
  <si>
    <t>2 x 4</t>
  </si>
  <si>
    <t>2 x 5</t>
  </si>
  <si>
    <t>2 x 6</t>
  </si>
  <si>
    <t>Condenser</t>
  </si>
  <si>
    <t>Total LBS of Refrigerant in System</t>
  </si>
  <si>
    <t>Suction Manifold</t>
  </si>
  <si>
    <t>Loop #</t>
  </si>
  <si>
    <t>Fixture Piping (Loops)</t>
  </si>
  <si>
    <t>Fixture Piping (Branches)</t>
  </si>
  <si>
    <t>For multiple</t>
  </si>
  <si>
    <t>use total length</t>
  </si>
  <si>
    <t>Suction Headers</t>
  </si>
  <si>
    <r>
      <t>Vapor Density (lb/ft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</si>
  <si>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4-5/8"</t>
  </si>
  <si>
    <t>6"</t>
  </si>
  <si>
    <t>Mechanical Subcooling?</t>
  </si>
  <si>
    <t>Low Temp</t>
  </si>
  <si>
    <t>Medium Temp</t>
  </si>
  <si>
    <t>Other (Must Provide Detailed Description and Calculation Method)</t>
  </si>
  <si>
    <r>
      <t>Length</t>
    </r>
    <r>
      <rPr>
        <b/>
        <sz val="10"/>
        <rFont val="Arial"/>
        <family val="2"/>
      </rPr>
      <t xml:space="preserve"> (ft)</t>
    </r>
  </si>
  <si>
    <r>
      <t>Length</t>
    </r>
    <r>
      <rPr>
        <b/>
        <sz val="10"/>
        <rFont val="Arial"/>
        <family val="2"/>
      </rPr>
      <t xml:space="preserve"> (ft)</t>
    </r>
    <r>
      <rPr>
        <sz val="10"/>
        <rFont val="Arial"/>
        <family val="2"/>
      </rPr>
      <t xml:space="preserve"> (each)</t>
    </r>
  </si>
  <si>
    <t>Condenser Liquid Piping (From Condenser to Rack)</t>
  </si>
  <si>
    <t>Condenser Piping (From Rack to Condenser)</t>
  </si>
  <si>
    <t>Size to Reclaim</t>
  </si>
  <si>
    <t>Size From Reclaim</t>
  </si>
  <si>
    <r>
      <t>Distance</t>
    </r>
    <r>
      <rPr>
        <b/>
        <sz val="10"/>
        <rFont val="Arial"/>
        <family val="2"/>
      </rPr>
      <t xml:space="preserve"> (ft)</t>
    </r>
  </si>
  <si>
    <r>
      <t xml:space="preserve">Receiver Diameter </t>
    </r>
    <r>
      <rPr>
        <b/>
        <sz val="10"/>
        <rFont val="Arial"/>
        <family val="2"/>
      </rPr>
      <t>(Inches)</t>
    </r>
  </si>
  <si>
    <r>
      <t xml:space="preserve">Length </t>
    </r>
    <r>
      <rPr>
        <b/>
        <sz val="10"/>
        <rFont val="Arial"/>
        <family val="2"/>
      </rPr>
      <t>(ft)</t>
    </r>
  </si>
  <si>
    <r>
      <t>%</t>
    </r>
    <r>
      <rPr>
        <sz val="10"/>
        <rFont val="Arial"/>
        <family val="2"/>
      </rPr>
      <t xml:space="preserve"> Full</t>
    </r>
  </si>
  <si>
    <t>Diameter</t>
  </si>
  <si>
    <t>Suction Line</t>
  </si>
  <si>
    <t>Liquid Line</t>
  </si>
  <si>
    <t>Configuration</t>
  </si>
  <si>
    <t>System Name:</t>
  </si>
  <si>
    <t>**Fill in Green Cells**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</si>
</sst>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3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>
      <alignment horizontal="center" wrapText="1"/>
    </xf>
    <xf numFmtId="165" fontId="3" fillId="0" borderId="13" xfId="0" applyNumberFormat="1" applyFont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 wrapText="1"/>
    </xf>
    <xf numFmtId="165" fontId="3" fillId="0" borderId="14" xfId="0" applyNumberFormat="1" applyFont="1" applyBorder="1" applyAlignment="1">
      <alignment horizont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35" xfId="0" applyFont="1" applyFill="1" applyBorder="1" applyAlignment="1" applyProtection="1">
      <alignment horizontal="center" vertical="top"/>
      <protection/>
    </xf>
    <xf numFmtId="2" fontId="0" fillId="35" borderId="35" xfId="0" applyNumberForma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/>
      <protection/>
    </xf>
    <xf numFmtId="2" fontId="0" fillId="35" borderId="37" xfId="0" applyNumberFormat="1" applyFill="1" applyBorder="1" applyAlignment="1" applyProtection="1">
      <alignment horizontal="center"/>
      <protection/>
    </xf>
    <xf numFmtId="2" fontId="0" fillId="35" borderId="38" xfId="0" applyNumberFormat="1" applyFill="1" applyBorder="1" applyAlignment="1" applyProtection="1">
      <alignment horizontal="center"/>
      <protection/>
    </xf>
    <xf numFmtId="2" fontId="0" fillId="35" borderId="39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41" xfId="0" applyFont="1" applyFill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 horizontal="center"/>
      <protection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2" fontId="0" fillId="35" borderId="35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42" xfId="0" applyFill="1" applyBorder="1" applyAlignment="1">
      <alignment/>
    </xf>
    <xf numFmtId="0" fontId="1" fillId="33" borderId="42" xfId="0" applyFont="1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/>
      <protection/>
    </xf>
    <xf numFmtId="0" fontId="0" fillId="34" borderId="51" xfId="0" applyFill="1" applyBorder="1" applyAlignment="1" applyProtection="1">
      <alignment horizontal="center"/>
      <protection locked="0"/>
    </xf>
    <xf numFmtId="0" fontId="0" fillId="33" borderId="4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1" fillId="33" borderId="52" xfId="0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9" fontId="0" fillId="34" borderId="43" xfId="0" applyNumberFormat="1" applyFill="1" applyBorder="1" applyAlignment="1" applyProtection="1">
      <alignment horizontal="center"/>
      <protection locked="0"/>
    </xf>
    <xf numFmtId="9" fontId="0" fillId="34" borderId="40" xfId="0" applyNumberFormat="1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52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33" borderId="32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54" xfId="0" applyFill="1" applyBorder="1" applyAlignment="1" applyProtection="1">
      <alignment horizontal="center"/>
      <protection/>
    </xf>
    <xf numFmtId="0" fontId="0" fillId="33" borderId="55" xfId="0" applyFill="1" applyBorder="1" applyAlignment="1" applyProtection="1">
      <alignment horizontal="center"/>
      <protection/>
    </xf>
    <xf numFmtId="0" fontId="0" fillId="33" borderId="56" xfId="0" applyFill="1" applyBorder="1" applyAlignment="1" applyProtection="1">
      <alignment horizontal="center"/>
      <protection/>
    </xf>
    <xf numFmtId="0" fontId="0" fillId="33" borderId="57" xfId="0" applyFill="1" applyBorder="1" applyAlignment="1" applyProtection="1">
      <alignment horizontal="center"/>
      <protection/>
    </xf>
    <xf numFmtId="0" fontId="0" fillId="33" borderId="58" xfId="0" applyFill="1" applyBorder="1" applyAlignment="1" applyProtection="1">
      <alignment horizontal="center"/>
      <protection/>
    </xf>
    <xf numFmtId="0" fontId="0" fillId="33" borderId="59" xfId="0" applyFill="1" applyBorder="1" applyAlignment="1" applyProtection="1">
      <alignment horizontal="center"/>
      <protection/>
    </xf>
    <xf numFmtId="0" fontId="1" fillId="33" borderId="54" xfId="0" applyFont="1" applyFill="1" applyBorder="1" applyAlignment="1" applyProtection="1">
      <alignment horizontal="right"/>
      <protection/>
    </xf>
    <xf numFmtId="0" fontId="1" fillId="33" borderId="46" xfId="0" applyFont="1" applyFill="1" applyBorder="1" applyAlignment="1" applyProtection="1">
      <alignment horizontal="right"/>
      <protection/>
    </xf>
    <xf numFmtId="2" fontId="0" fillId="34" borderId="33" xfId="0" applyNumberFormat="1" applyFill="1" applyBorder="1" applyAlignment="1" applyProtection="1">
      <alignment horizontal="center" vertical="center"/>
      <protection locked="0"/>
    </xf>
    <xf numFmtId="2" fontId="0" fillId="34" borderId="42" xfId="0" applyNumberFormat="1" applyFill="1" applyBorder="1" applyAlignment="1" applyProtection="1">
      <alignment horizontal="center" vertical="center"/>
      <protection locked="0"/>
    </xf>
    <xf numFmtId="2" fontId="0" fillId="34" borderId="34" xfId="0" applyNumberFormat="1" applyFill="1" applyBorder="1" applyAlignment="1" applyProtection="1">
      <alignment horizontal="center" vertical="center"/>
      <protection locked="0"/>
    </xf>
    <xf numFmtId="0" fontId="1" fillId="33" borderId="56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58" xfId="0" applyFont="1" applyFill="1" applyBorder="1" applyAlignment="1" applyProtection="1">
      <alignment horizontal="right"/>
      <protection/>
    </xf>
    <xf numFmtId="0" fontId="1" fillId="33" borderId="50" xfId="0" applyFont="1" applyFill="1" applyBorder="1" applyAlignment="1" applyProtection="1">
      <alignment horizontal="right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3</xdr:row>
      <xdr:rowOff>0</xdr:rowOff>
    </xdr:from>
    <xdr:to>
      <xdr:col>3</xdr:col>
      <xdr:colOff>1038225</xdr:colOff>
      <xdr:row>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666750"/>
          <a:ext cx="9239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77"/>
  <sheetViews>
    <sheetView showGridLines="0" showRowColHeaders="0" tabSelected="1" zoomScalePageLayoutView="0" workbookViewId="0" topLeftCell="A1">
      <selection activeCell="C3" sqref="C3"/>
    </sheetView>
  </sheetViews>
  <sheetFormatPr defaultColWidth="11.421875" defaultRowHeight="12.75"/>
  <cols>
    <col min="1" max="4" width="17.00390625" style="0" customWidth="1"/>
    <col min="5" max="5" width="15.7109375" style="0" customWidth="1"/>
    <col min="6" max="6" width="18.421875" style="2" customWidth="1"/>
    <col min="7" max="7" width="19.28125" style="0" bestFit="1" customWidth="1"/>
    <col min="8" max="9" width="8.8515625" style="0" customWidth="1"/>
    <col min="10" max="10" width="12.7109375" style="0" hidden="1" customWidth="1"/>
    <col min="11" max="11" width="12.00390625" style="0" hidden="1" customWidth="1"/>
    <col min="12" max="13" width="9.140625" style="0" hidden="1" customWidth="1"/>
    <col min="14" max="14" width="12.421875" style="0" hidden="1" customWidth="1"/>
    <col min="15" max="15" width="11.28125" style="0" hidden="1" customWidth="1"/>
    <col min="16" max="18" width="9.140625" style="0" hidden="1" customWidth="1"/>
    <col min="19" max="16384" width="8.8515625" style="0" customWidth="1"/>
  </cols>
  <sheetData>
    <row r="1" spans="1:6" ht="19.5" customHeight="1">
      <c r="A1" s="92" t="s">
        <v>37</v>
      </c>
      <c r="B1" s="92"/>
      <c r="C1" s="92"/>
      <c r="D1" s="92"/>
      <c r="E1" s="92"/>
      <c r="F1" s="92"/>
    </row>
    <row r="2" spans="1:6" ht="19.5" customHeight="1" thickBot="1">
      <c r="A2" s="43"/>
      <c r="B2" s="44"/>
      <c r="C2" s="90" t="s">
        <v>83</v>
      </c>
      <c r="D2" s="91"/>
      <c r="E2" s="44"/>
      <c r="F2" s="45"/>
    </row>
    <row r="3" spans="1:6" ht="13.5" customHeight="1" thickBot="1">
      <c r="A3" s="115" t="s">
        <v>82</v>
      </c>
      <c r="B3" s="116"/>
      <c r="C3" s="88"/>
      <c r="D3" s="83"/>
      <c r="E3" s="87"/>
      <c r="F3" s="87"/>
    </row>
    <row r="4" spans="1:6" ht="12.75">
      <c r="A4" s="120" t="s">
        <v>14</v>
      </c>
      <c r="B4" s="121"/>
      <c r="C4" s="31"/>
      <c r="D4" s="85"/>
      <c r="E4" s="86" t="s">
        <v>52</v>
      </c>
      <c r="F4" s="86" t="s">
        <v>35</v>
      </c>
    </row>
    <row r="5" spans="1:6" ht="13.5" thickBot="1">
      <c r="A5" s="120" t="s">
        <v>23</v>
      </c>
      <c r="B5" s="121"/>
      <c r="C5" s="31"/>
      <c r="D5" s="85"/>
      <c r="E5" s="47" t="s">
        <v>81</v>
      </c>
      <c r="F5" s="47" t="s">
        <v>36</v>
      </c>
    </row>
    <row r="6" spans="1:6" ht="13.5" thickBot="1">
      <c r="A6" s="122" t="s">
        <v>64</v>
      </c>
      <c r="B6" s="123"/>
      <c r="C6" s="33"/>
      <c r="D6" s="85"/>
      <c r="E6" s="80"/>
      <c r="F6" s="82" t="e">
        <f>IF(AND(E6="",C4&gt;"",C5&gt;""),0,(VLOOKUP($E$6,$O$10:$R$19,MATCH($C$5,$P$9:$R$9,0)+1,FALSE))*(IF($C$4="R-22",1,IF($C$4="R-404A",0.91,IF(OR($C$4="R-134A",$C$4="R-402A"),0.99,0)))))</f>
        <v>#N/A</v>
      </c>
    </row>
    <row r="7" spans="1:6" ht="7.5" customHeight="1" thickBot="1">
      <c r="A7" s="48"/>
      <c r="B7" s="48"/>
      <c r="C7" s="49"/>
      <c r="D7" s="44"/>
      <c r="E7" s="44"/>
      <c r="F7" s="45"/>
    </row>
    <row r="8" spans="1:18" ht="13.5" thickBot="1">
      <c r="A8" s="93" t="s">
        <v>70</v>
      </c>
      <c r="B8" s="94"/>
      <c r="C8" s="94"/>
      <c r="D8" s="95"/>
      <c r="E8" s="89" t="s">
        <v>69</v>
      </c>
      <c r="F8" s="50" t="s">
        <v>13</v>
      </c>
      <c r="G8" s="2"/>
      <c r="J8" s="1" t="s">
        <v>25</v>
      </c>
      <c r="K8" s="1" t="s">
        <v>15</v>
      </c>
      <c r="L8" s="101" t="s">
        <v>0</v>
      </c>
      <c r="M8" s="101"/>
      <c r="N8" s="3" t="s">
        <v>22</v>
      </c>
      <c r="O8" s="101" t="s">
        <v>41</v>
      </c>
      <c r="P8" s="101"/>
      <c r="Q8" s="101"/>
      <c r="R8" s="101"/>
    </row>
    <row r="9" spans="1:18" ht="13.5" thickBot="1">
      <c r="A9" s="23"/>
      <c r="B9" s="23"/>
      <c r="C9" s="23"/>
      <c r="D9" s="23"/>
      <c r="E9" s="24"/>
      <c r="F9" s="51" t="e">
        <f>(((((((VLOOKUP($A$9,$L$9:$M$23,2,FALSE))/2)/12)^2)*PI())+(((((VLOOKUP($B$9,$L$9:$M$23,2,FALSE))/2)/12)^2)*PI())+(((((VLOOKUP($C$9,$L$9:$M$23,2,FALSE))/2)/12)^2)*PI())+(((((VLOOKUP($D$9,$L$9:$M$23,2,FALSE))/2)/12)^2)*PI()))*$E$9)*(VLOOKUP(IF($C$5="Low Temp",105,IF($C$5="Medium Temp",110,IF($C$5="HVAC",120,200))),'Density &amp; Volume'!$A$3:$E$42,(MATCH($C$4,'Density &amp; Volume'!$B$2:$E$2,0)+1)))</f>
        <v>#N/A</v>
      </c>
      <c r="J9" t="s">
        <v>26</v>
      </c>
      <c r="K9" t="s">
        <v>16</v>
      </c>
      <c r="L9" s="12">
        <v>0</v>
      </c>
      <c r="M9" s="13">
        <v>0</v>
      </c>
      <c r="N9" t="s">
        <v>65</v>
      </c>
      <c r="P9" t="s">
        <v>65</v>
      </c>
      <c r="Q9" t="s">
        <v>66</v>
      </c>
      <c r="R9" t="s">
        <v>24</v>
      </c>
    </row>
    <row r="10" spans="1:18" ht="13.5" thickBot="1">
      <c r="A10" s="93" t="s">
        <v>71</v>
      </c>
      <c r="B10" s="94"/>
      <c r="C10" s="94"/>
      <c r="D10" s="95"/>
      <c r="E10" s="89" t="s">
        <v>69</v>
      </c>
      <c r="F10" s="50" t="s">
        <v>13</v>
      </c>
      <c r="J10" t="s">
        <v>27</v>
      </c>
      <c r="K10" t="s">
        <v>17</v>
      </c>
      <c r="L10" s="4" t="s">
        <v>1</v>
      </c>
      <c r="M10">
        <f>3/8-0.125</f>
        <v>0.25</v>
      </c>
      <c r="N10" t="s">
        <v>66</v>
      </c>
      <c r="O10" t="s">
        <v>42</v>
      </c>
      <c r="P10">
        <v>47</v>
      </c>
      <c r="Q10">
        <v>44</v>
      </c>
      <c r="R10">
        <v>20</v>
      </c>
    </row>
    <row r="11" spans="1:18" ht="13.5" thickBot="1">
      <c r="A11" s="23"/>
      <c r="B11" s="23"/>
      <c r="C11" s="23"/>
      <c r="D11" s="23"/>
      <c r="E11" s="24"/>
      <c r="F11" s="51" t="e">
        <f>(((((((VLOOKUP($A$11,$L$9:$M$23,2,FALSE))/2)/12)^2)*PI())+(((((VLOOKUP($B$11,$L$9:$M$23,2,FALSE))/2)/12)^2)*PI())+(((((VLOOKUP($C$11,$L$9:$M$23,2,FALSE))/2)/12)^2)*PI())+(((((VLOOKUP($D$11,$L$9:$M$23,2,FALSE))/2)/12)^2)*PI()))*$E$11)*(VLOOKUP(IF($C$5="Low Temp",105,IF($C$5="Medium Temp",110,IF($C$5="HVAC",120,200))),'Density &amp; Volume'!$F$3:$J$42,(MATCH($C$4,'Density &amp; Volume'!$G$2:$J$2,0)+1)))</f>
        <v>#N/A</v>
      </c>
      <c r="G11" s="10"/>
      <c r="J11" t="s">
        <v>33</v>
      </c>
      <c r="K11" t="s">
        <v>18</v>
      </c>
      <c r="L11" t="s">
        <v>2</v>
      </c>
      <c r="M11">
        <f>1/2-0.125</f>
        <v>0.375</v>
      </c>
      <c r="N11" t="s">
        <v>24</v>
      </c>
      <c r="O11" t="s">
        <v>43</v>
      </c>
      <c r="P11">
        <v>64</v>
      </c>
      <c r="Q11">
        <v>57</v>
      </c>
      <c r="R11">
        <v>30</v>
      </c>
    </row>
    <row r="12" spans="1:18" ht="7.5" customHeight="1" thickBot="1">
      <c r="A12" s="52"/>
      <c r="B12" s="52"/>
      <c r="C12" s="52"/>
      <c r="D12" s="52"/>
      <c r="E12" s="52"/>
      <c r="F12" s="53"/>
      <c r="K12" t="s">
        <v>19</v>
      </c>
      <c r="L12" t="s">
        <v>3</v>
      </c>
      <c r="M12">
        <f>5/8-0.125</f>
        <v>0.5</v>
      </c>
      <c r="O12" t="s">
        <v>44</v>
      </c>
      <c r="P12">
        <v>141</v>
      </c>
      <c r="Q12">
        <v>121</v>
      </c>
      <c r="R12">
        <v>70</v>
      </c>
    </row>
    <row r="13" spans="1:18" ht="12.75">
      <c r="A13" s="104" t="s">
        <v>34</v>
      </c>
      <c r="B13" s="105"/>
      <c r="C13" s="105"/>
      <c r="D13" s="105"/>
      <c r="E13" s="106"/>
      <c r="F13" s="46" t="s">
        <v>35</v>
      </c>
      <c r="L13" t="s">
        <v>4</v>
      </c>
      <c r="M13">
        <f>7/8-0.125</f>
        <v>0.75</v>
      </c>
      <c r="O13" t="s">
        <v>45</v>
      </c>
      <c r="P13">
        <v>164</v>
      </c>
      <c r="Q13">
        <v>136</v>
      </c>
      <c r="R13">
        <v>86</v>
      </c>
    </row>
    <row r="14" spans="1:18" ht="13.5" thickBot="1">
      <c r="A14" s="107" t="s">
        <v>32</v>
      </c>
      <c r="B14" s="108"/>
      <c r="C14" s="54" t="s">
        <v>72</v>
      </c>
      <c r="D14" s="54" t="s">
        <v>73</v>
      </c>
      <c r="E14" s="79" t="s">
        <v>74</v>
      </c>
      <c r="F14" s="47" t="s">
        <v>36</v>
      </c>
      <c r="L14" t="s">
        <v>5</v>
      </c>
      <c r="M14">
        <f>1/8+1-0.125</f>
        <v>1</v>
      </c>
      <c r="O14" t="s">
        <v>46</v>
      </c>
      <c r="P14">
        <v>168</v>
      </c>
      <c r="Q14">
        <v>139</v>
      </c>
      <c r="R14">
        <v>102</v>
      </c>
    </row>
    <row r="15" spans="1:18" ht="12.75">
      <c r="A15" s="109" t="s">
        <v>29</v>
      </c>
      <c r="B15" s="110"/>
      <c r="C15" s="29"/>
      <c r="D15" s="29"/>
      <c r="E15" s="25"/>
      <c r="F15" s="55" t="e">
        <f>SUM(((((((VLOOKUP(C15,$L$9:$M$23,2,FALSE))/2)/12)^2)*PI())*E15)*(VLOOKUP(IF($C$5="Low Temp",105,IF($C$5="Medium Temp",110,IF($C$5="HVAC",120,0))),'Density &amp; Volume'!$F$3:$J$42,(MATCH($C$4,'Density &amp; Volume'!$G$2:$J$2,0)+1)))+((((((VLOOKUP(D15,$L$9:$M$23,2,FALSE))/2)/12)^2)*PI())*E15)*(VLOOKUP((IF($C$5="Low Temp",105,IF($C$5="Medium Temp",110,IF($C$5="HVAC",120,0)))),'Density &amp; Volume'!$A$3:$E$42,(MATCH($C$4,'Density &amp; Volume'!$B$2:$E$2,0)+1))))</f>
        <v>#N/A</v>
      </c>
      <c r="G15" s="10"/>
      <c r="L15" t="s">
        <v>6</v>
      </c>
      <c r="M15">
        <f>3/8+1-0.125</f>
        <v>1.25</v>
      </c>
      <c r="O15" t="s">
        <v>47</v>
      </c>
      <c r="P15">
        <v>70</v>
      </c>
      <c r="Q15">
        <v>65</v>
      </c>
      <c r="R15">
        <v>29</v>
      </c>
    </row>
    <row r="16" spans="1:18" ht="12.75">
      <c r="A16" s="111" t="s">
        <v>30</v>
      </c>
      <c r="B16" s="112"/>
      <c r="C16" s="30"/>
      <c r="D16" s="30"/>
      <c r="E16" s="26"/>
      <c r="F16" s="56" t="e">
        <f>SUM(((((((VLOOKUP(C16,$L$9:$M$23,2,FALSE))/2)/12)^2)*PI())*E16)*(VLOOKUP(IF($C$5="Low Temp",105,IF($C$5="Medium Temp",110,IF($C$5="HVAC",120,0))),'Density &amp; Volume'!$F$3:$J$42,(MATCH($C$4,'Density &amp; Volume'!$G$2:$J$2,0)+1)))+((((((VLOOKUP(D16,$L$9:$M$23,2,FALSE))/2)/12)^2)*PI())*E16)*(VLOOKUP((IF($C$5="Low Temp",105,IF($C$5="Medium Temp",110,IF($C$5="HVAC",120,0)))),'Density &amp; Volume'!$A$3:$E$42,(MATCH($C$4,'Density &amp; Volume'!$B$2:$E$2,0)+1))))</f>
        <v>#N/A</v>
      </c>
      <c r="L16" t="s">
        <v>7</v>
      </c>
      <c r="M16">
        <f>5/8+1-0.125</f>
        <v>1.5</v>
      </c>
      <c r="O16" t="s">
        <v>48</v>
      </c>
      <c r="P16">
        <v>97</v>
      </c>
      <c r="Q16">
        <v>86</v>
      </c>
      <c r="R16">
        <v>44</v>
      </c>
    </row>
    <row r="17" spans="1:18" ht="13.5" thickBot="1">
      <c r="A17" s="113" t="s">
        <v>31</v>
      </c>
      <c r="B17" s="114"/>
      <c r="C17" s="32"/>
      <c r="D17" s="32"/>
      <c r="E17" s="27"/>
      <c r="F17" s="57" t="e">
        <f>SUM(((((((VLOOKUP(C17,$L$9:$M$23,2,FALSE))/2)/12)^2)*PI())*E17)*(VLOOKUP(IF($C$5="Low Temp",105,IF($C$5="Medium Temp",110,IF($C$5="HVAC",120,0))),'Density &amp; Volume'!$F$3:$J$42,(MATCH($C$4,'Density &amp; Volume'!$G$2:$J$2,0)+1)))+((((((VLOOKUP(D17,$L$9:$M$23,2,FALSE))/2)/12)^2)*PI())*E17)*(VLOOKUP((IF($C$5="Low Temp",105,IF($C$5="Medium Temp",110,IF($C$5="HVAC",120,0)))),'Density &amp; Volume'!$A$3:$E$42,(MATCH($C$4,'Density &amp; Volume'!$B$2:$E$2,0)+1))))</f>
        <v>#N/A</v>
      </c>
      <c r="L17" t="s">
        <v>8</v>
      </c>
      <c r="M17">
        <f>1/8+2-0.125</f>
        <v>2</v>
      </c>
      <c r="O17" t="s">
        <v>49</v>
      </c>
      <c r="P17">
        <v>211</v>
      </c>
      <c r="Q17">
        <v>181</v>
      </c>
      <c r="R17">
        <v>104</v>
      </c>
    </row>
    <row r="18" spans="1:18" ht="7.5" customHeight="1" thickBot="1">
      <c r="A18" s="58"/>
      <c r="B18" s="58"/>
      <c r="C18" s="59"/>
      <c r="D18" s="59"/>
      <c r="E18" s="59"/>
      <c r="F18" s="53"/>
      <c r="L18" t="s">
        <v>9</v>
      </c>
      <c r="M18">
        <f>5/8+2-0.125</f>
        <v>2.5</v>
      </c>
      <c r="O18" t="s">
        <v>50</v>
      </c>
      <c r="P18">
        <v>245</v>
      </c>
      <c r="Q18">
        <v>202</v>
      </c>
      <c r="R18">
        <v>125</v>
      </c>
    </row>
    <row r="19" spans="1:18" ht="13.5" thickBot="1">
      <c r="A19" s="93" t="s">
        <v>38</v>
      </c>
      <c r="B19" s="94"/>
      <c r="C19" s="94"/>
      <c r="D19" s="94"/>
      <c r="E19" s="96"/>
      <c r="F19" s="46" t="s">
        <v>35</v>
      </c>
      <c r="L19" t="s">
        <v>10</v>
      </c>
      <c r="M19">
        <f>1/8+3-0.125</f>
        <v>3</v>
      </c>
      <c r="O19" t="s">
        <v>51</v>
      </c>
      <c r="P19">
        <v>333</v>
      </c>
      <c r="Q19">
        <v>275</v>
      </c>
      <c r="R19">
        <v>201</v>
      </c>
    </row>
    <row r="20" spans="1:13" ht="13.5" thickBot="1">
      <c r="A20" s="102" t="s">
        <v>75</v>
      </c>
      <c r="B20" s="103"/>
      <c r="C20" s="60" t="s">
        <v>76</v>
      </c>
      <c r="D20" s="124" t="s">
        <v>77</v>
      </c>
      <c r="E20" s="125"/>
      <c r="F20" s="47" t="s">
        <v>36</v>
      </c>
      <c r="L20" t="s">
        <v>11</v>
      </c>
      <c r="M20">
        <f>5/8+3-0.125</f>
        <v>3.5</v>
      </c>
    </row>
    <row r="21" spans="1:13" ht="13.5" thickBot="1">
      <c r="A21" s="99"/>
      <c r="B21" s="100"/>
      <c r="C21" s="28"/>
      <c r="D21" s="97"/>
      <c r="E21" s="98"/>
      <c r="F21" s="51" t="e">
        <f>((((((A21/2)/12)^2)*PI())*C21)*D21)*(VLOOKUP(IF($C$5="Low Temp",100,IF($C$5="Medium Temp",105,IF($C$5="HVAC",115,200))),'Density &amp; Volume'!$A$3:$E$42,(MATCH($C$4,'Density &amp; Volume'!$B$2:$E$2,0)+1)))</f>
        <v>#N/A</v>
      </c>
      <c r="G21" s="81"/>
      <c r="H21" s="2"/>
      <c r="L21" t="s">
        <v>12</v>
      </c>
      <c r="M21">
        <f>1/8+4-0.125</f>
        <v>4</v>
      </c>
    </row>
    <row r="22" spans="1:13" ht="7.5" customHeight="1" thickBot="1">
      <c r="A22" s="58"/>
      <c r="B22" s="58"/>
      <c r="C22" s="59"/>
      <c r="D22" s="59"/>
      <c r="E22" s="59"/>
      <c r="F22" s="62"/>
      <c r="G22" s="2"/>
      <c r="L22" t="s">
        <v>62</v>
      </c>
      <c r="M22">
        <f>4.625-0.125</f>
        <v>4.5</v>
      </c>
    </row>
    <row r="23" spans="1:13" ht="13.5" customHeight="1" thickBot="1">
      <c r="A23" s="93" t="s">
        <v>54</v>
      </c>
      <c r="B23" s="96"/>
      <c r="C23" s="63" t="s">
        <v>58</v>
      </c>
      <c r="D23" s="93" t="s">
        <v>40</v>
      </c>
      <c r="E23" s="96"/>
      <c r="F23" s="46" t="s">
        <v>35</v>
      </c>
      <c r="G23" s="2"/>
      <c r="L23" t="s">
        <v>63</v>
      </c>
      <c r="M23">
        <f>6-0.125</f>
        <v>5.875</v>
      </c>
    </row>
    <row r="24" spans="1:7" ht="13.5" customHeight="1" thickBot="1">
      <c r="A24" s="64" t="s">
        <v>78</v>
      </c>
      <c r="B24" s="61" t="s">
        <v>76</v>
      </c>
      <c r="C24" s="65" t="s">
        <v>60</v>
      </c>
      <c r="D24" s="64" t="s">
        <v>78</v>
      </c>
      <c r="E24" s="61" t="s">
        <v>76</v>
      </c>
      <c r="F24" s="47" t="s">
        <v>36</v>
      </c>
      <c r="G24" s="2"/>
    </row>
    <row r="25" spans="1:7" ht="13.5" customHeight="1" thickBot="1">
      <c r="A25" s="42"/>
      <c r="B25" s="34"/>
      <c r="C25" s="66" t="s">
        <v>59</v>
      </c>
      <c r="D25" s="42"/>
      <c r="E25" s="28"/>
      <c r="F25" s="51" t="e">
        <f>SUM(((((((VLOOKUP(A25,$L$9:$M$23,2,FALSE))/2)/12)^2)*PI())*B25)*(VLOOKUP(IF($C$5="Low Temp",-20,IF($C$5="Medium Temp",20,IF($C$5="HVAC",45,0))),'Density &amp; Volume'!$F$3:$J$42,(MATCH($C$4,'Density &amp; Volume'!$G$2:$J$2,0)+1)))+((((((VLOOKUP(D25,$L$9:$M$23,2,FALSE))/2)/12)^2)*PI())*E25)*(VLOOKUP(IF($C$5="",200,IF($C$6="YES",50,IF(AND($C$5="Low Temp",$C$6="NO"),100,IF($C$5="Medium Temp",105,IF($C$5="HVAC",115,0))))),'Density &amp; Volume'!$A$3:$E$42,(MATCH($C$4,'Density &amp; Volume'!$B$2:$E$2,0)+1))))</f>
        <v>#N/A</v>
      </c>
      <c r="G25" s="81"/>
    </row>
    <row r="26" spans="1:7" ht="7.5" customHeight="1" thickBot="1">
      <c r="A26" s="58"/>
      <c r="B26" s="58"/>
      <c r="C26" s="59"/>
      <c r="D26" s="59"/>
      <c r="E26" s="59"/>
      <c r="F26" s="62"/>
      <c r="G26" s="2"/>
    </row>
    <row r="27" spans="1:6" ht="13.5" thickBot="1">
      <c r="A27" s="93" t="s">
        <v>56</v>
      </c>
      <c r="B27" s="94"/>
      <c r="C27" s="94"/>
      <c r="D27" s="94"/>
      <c r="E27" s="96"/>
      <c r="F27" s="46" t="s">
        <v>35</v>
      </c>
    </row>
    <row r="28" spans="1:6" ht="13.5" thickBot="1">
      <c r="A28" s="67" t="s">
        <v>55</v>
      </c>
      <c r="B28" s="68" t="s">
        <v>79</v>
      </c>
      <c r="C28" s="69" t="s">
        <v>76</v>
      </c>
      <c r="D28" s="67" t="s">
        <v>80</v>
      </c>
      <c r="E28" s="70" t="s">
        <v>68</v>
      </c>
      <c r="F28" s="47" t="s">
        <v>36</v>
      </c>
    </row>
    <row r="29" spans="1:10" ht="12.75">
      <c r="A29" s="71">
        <v>1</v>
      </c>
      <c r="B29" s="29"/>
      <c r="C29" s="76"/>
      <c r="D29" s="35"/>
      <c r="E29" s="76"/>
      <c r="F29" s="56" t="e">
        <f>SUM(((((((VLOOKUP(B29,$L$9:$M$23,2,FALSE))/2)/12)^2)*PI())*C29)*(VLOOKUP((IF($C$5="Low Temp",-20,IF($C$5="Medium Temp",20,IF($C$5="HVAC",45,0)))),'Density &amp; Volume'!$F$3:$J$42,(MATCH($C$4,'Density &amp; Volume'!$G$2:$J$2,0)+1)))+((((((VLOOKUP(D29,$L$9:$M$23,2,FALSE))/2)/12)^2)*PI())*E29)*(VLOOKUP(IF($C$6="YES",50,IF(AND($C$5="Low Temp",$C$6="NO"),100,IF($C$5="Medium Temp",105,IF($C$5="HVAC",115,0)))),'Density &amp; Volume'!$A$3:$E$42,(MATCH($C$4,'Density &amp; Volume'!$B$2:$E$2,0)+1))))</f>
        <v>#N/A</v>
      </c>
      <c r="G29" s="81"/>
      <c r="J29" s="21"/>
    </row>
    <row r="30" spans="1:6" ht="12.75">
      <c r="A30" s="72">
        <v>2</v>
      </c>
      <c r="B30" s="30"/>
      <c r="C30" s="77"/>
      <c r="D30" s="36"/>
      <c r="E30" s="77"/>
      <c r="F30" s="56" t="e">
        <f>SUM(((((((VLOOKUP(B30,$L$9:$M$23,2,FALSE))/2)/12)^2)*PI())*C30)*(VLOOKUP((IF($C$5="Low Temp",-20,IF($C$5="Medium Temp",20,IF($C$5="HVAC",45,0)))),'Density &amp; Volume'!$F$3:$J$42,(MATCH($C$4,'Density &amp; Volume'!$G$2:$J$2,0)+1)))+((((((VLOOKUP(D30,$L$9:$M$23,2,FALSE))/2)/12)^2)*PI())*E30)*(VLOOKUP(IF($C$6="YES",50,IF(AND($C$5="Low Temp",$C$6="NO"),100,IF($C$5="Medium Temp",105,IF($C$5="HVAC",115,0)))),'Density &amp; Volume'!$A$3:$E$42,(MATCH($C$4,'Density &amp; Volume'!$B$2:$E$2,0)+1))))</f>
        <v>#N/A</v>
      </c>
    </row>
    <row r="31" spans="1:6" ht="12.75">
      <c r="A31" s="72">
        <v>3</v>
      </c>
      <c r="B31" s="30"/>
      <c r="C31" s="77"/>
      <c r="D31" s="36"/>
      <c r="E31" s="77"/>
      <c r="F31" s="56" t="e">
        <f>SUM(((((((VLOOKUP(B31,$L$9:$M$23,2,FALSE))/2)/12)^2)*PI())*C31)*(VLOOKUP((IF($C$5="Low Temp",-20,IF($C$5="Medium Temp",20,IF($C$5="HVAC",45,0)))),'Density &amp; Volume'!$F$3:$J$42,(MATCH($C$4,'Density &amp; Volume'!$G$2:$J$2,0)+1)))+((((((VLOOKUP(D31,$L$9:$M$23,2,FALSE))/2)/12)^2)*PI())*E31)*(VLOOKUP(IF($C$6="YES",50,IF(AND($C$5="Low Temp",$C$6="NO"),100,IF($C$5="Medium Temp",105,IF($C$5="HVAC",115,0)))),'Density &amp; Volume'!$A$3:$E$42,(MATCH($C$4,'Density &amp; Volume'!$B$2:$E$2,0)+1))))</f>
        <v>#N/A</v>
      </c>
    </row>
    <row r="32" spans="1:6" ht="12.75">
      <c r="A32" s="72">
        <v>4</v>
      </c>
      <c r="B32" s="30"/>
      <c r="C32" s="77"/>
      <c r="D32" s="36"/>
      <c r="E32" s="77"/>
      <c r="F32" s="56" t="e">
        <f>SUM(((((((VLOOKUP(B32,$L$9:$M$23,2,FALSE))/2)/12)^2)*PI())*C32)*(VLOOKUP((IF($C$5="Low Temp",-20,IF($C$5="Medium Temp",20,IF($C$5="HVAC",45,0)))),'Density &amp; Volume'!$F$3:$J$42,(MATCH($C$4,'Density &amp; Volume'!$G$2:$J$2,0)+1)))+((((((VLOOKUP(D32,$L$9:$M$23,2,FALSE))/2)/12)^2)*PI())*E32)*(VLOOKUP(IF($C$6="YES",50,IF(AND($C$5="Low Temp",$C$6="NO"),100,IF($C$5="Medium Temp",105,IF($C$5="HVAC",115,0)))),'Density &amp; Volume'!$A$3:$E$42,(MATCH($C$4,'Density &amp; Volume'!$B$2:$E$2,0)+1))))</f>
        <v>#N/A</v>
      </c>
    </row>
    <row r="33" spans="1:11" ht="12.75">
      <c r="A33" s="72">
        <v>5</v>
      </c>
      <c r="B33" s="30"/>
      <c r="C33" s="77"/>
      <c r="D33" s="36"/>
      <c r="E33" s="77"/>
      <c r="F33" s="56" t="e">
        <f>SUM(((((((VLOOKUP(B33,$L$9:$M$23,2,FALSE))/2)/12)^2)*PI())*C33)*(VLOOKUP((IF($C$5="Low Temp",-20,IF($C$5="Medium Temp",20,IF($C$5="HVAC",45,0)))),'Density &amp; Volume'!$F$3:$J$42,(MATCH($C$4,'Density &amp; Volume'!$G$2:$J$2,0)+1)))+((((((VLOOKUP(D33,$L$9:$M$23,2,FALSE))/2)/12)^2)*PI())*E33)*(VLOOKUP(IF($C$6="YES",50,IF(AND($C$5="Low Temp",$C$6="NO"),100,IF($C$5="Medium Temp",105,IF($C$5="HVAC",115,0)))),'Density &amp; Volume'!$A$3:$E$42,(MATCH($C$4,'Density &amp; Volume'!$B$2:$E$2,0)+1))))</f>
        <v>#N/A</v>
      </c>
      <c r="J33" s="22"/>
      <c r="K33" s="10"/>
    </row>
    <row r="34" spans="1:11" ht="12.75">
      <c r="A34" s="72">
        <v>6</v>
      </c>
      <c r="B34" s="30"/>
      <c r="C34" s="77"/>
      <c r="D34" s="36"/>
      <c r="E34" s="77"/>
      <c r="F34" s="56" t="e">
        <f>SUM(((((((VLOOKUP(B34,$L$9:$M$23,2,FALSE))/2)/12)^2)*PI())*C34)*(VLOOKUP((IF($C$5="Low Temp",-20,IF($C$5="Medium Temp",20,IF($C$5="HVAC",45,0)))),'Density &amp; Volume'!$F$3:$J$42,(MATCH($C$4,'Density &amp; Volume'!$G$2:$J$2,0)+1)))+((((((VLOOKUP(D34,$L$9:$M$23,2,FALSE))/2)/12)^2)*PI())*E34)*(VLOOKUP(IF($C$6="YES",50,IF(AND($C$5="Low Temp",$C$6="NO"),100,IF($C$5="Medium Temp",105,IF($C$5="HVAC",115,0)))),'Density &amp; Volume'!$A$3:$E$42,(MATCH($C$4,'Density &amp; Volume'!$B$2:$E$2,0)+1))))</f>
        <v>#N/A</v>
      </c>
      <c r="J34" s="22"/>
      <c r="K34" s="10"/>
    </row>
    <row r="35" spans="1:11" ht="12.75">
      <c r="A35" s="72">
        <v>7</v>
      </c>
      <c r="B35" s="30"/>
      <c r="C35" s="77"/>
      <c r="D35" s="36"/>
      <c r="E35" s="77"/>
      <c r="F35" s="56" t="e">
        <f>SUM(((((((VLOOKUP(B35,$L$9:$M$23,2,FALSE))/2)/12)^2)*PI())*C35)*(VLOOKUP((IF($C$5="Low Temp",-20,IF($C$5="Medium Temp",20,IF($C$5="HVAC",45,0)))),'Density &amp; Volume'!$F$3:$J$42,(MATCH($C$4,'Density &amp; Volume'!$G$2:$J$2,0)+1)))+((((((VLOOKUP(D35,$L$9:$M$23,2,FALSE))/2)/12)^2)*PI())*E35)*(VLOOKUP(IF($C$6="YES",50,IF(AND($C$5="Low Temp",$C$6="NO"),100,IF($C$5="Medium Temp",105,IF($C$5="HVAC",115,0)))),'Density &amp; Volume'!$A$3:$E$42,(MATCH($C$4,'Density &amp; Volume'!$B$2:$E$2,0)+1))))</f>
        <v>#N/A</v>
      </c>
      <c r="J35" s="22"/>
      <c r="K35" s="10"/>
    </row>
    <row r="36" spans="1:11" ht="12.75">
      <c r="A36" s="72">
        <v>8</v>
      </c>
      <c r="B36" s="30"/>
      <c r="C36" s="77"/>
      <c r="D36" s="36"/>
      <c r="E36" s="77"/>
      <c r="F36" s="56" t="e">
        <f>SUM(((((((VLOOKUP(B36,$L$9:$M$23,2,FALSE))/2)/12)^2)*PI())*C36)*(VLOOKUP((IF($C$5="Low Temp",-20,IF($C$5="Medium Temp",20,IF($C$5="HVAC",45,0)))),'Density &amp; Volume'!$F$3:$J$42,(MATCH($C$4,'Density &amp; Volume'!$G$2:$J$2,0)+1)))+((((((VLOOKUP(D36,$L$9:$M$23,2,FALSE))/2)/12)^2)*PI())*E36)*(VLOOKUP(IF($C$6="YES",50,IF(AND($C$5="Low Temp",$C$6="NO"),100,IF($C$5="Medium Temp",105,IF($C$5="HVAC",115,0)))),'Density &amp; Volume'!$A$3:$E$42,(MATCH($C$4,'Density &amp; Volume'!$B$2:$E$2,0)+1))))</f>
        <v>#N/A</v>
      </c>
      <c r="J36" s="10"/>
      <c r="K36" s="10"/>
    </row>
    <row r="37" spans="1:11" ht="12.75">
      <c r="A37" s="72">
        <v>9</v>
      </c>
      <c r="B37" s="30"/>
      <c r="C37" s="77"/>
      <c r="D37" s="36"/>
      <c r="E37" s="77"/>
      <c r="F37" s="56" t="e">
        <f>SUM(((((((VLOOKUP(B37,$L$9:$M$23,2,FALSE))/2)/12)^2)*PI())*C37)*(VLOOKUP((IF($C$5="Low Temp",-20,IF($C$5="Medium Temp",20,IF($C$5="HVAC",45,0)))),'Density &amp; Volume'!$F$3:$J$42,(MATCH($C$4,'Density &amp; Volume'!$G$2:$J$2,0)+1)))+((((((VLOOKUP(D37,$L$9:$M$23,2,FALSE))/2)/12)^2)*PI())*E37)*(VLOOKUP(IF($C$6="YES",50,IF(AND($C$5="Low Temp",$C$6="NO"),100,IF($C$5="Medium Temp",105,IF($C$5="HVAC",115,0)))),'Density &amp; Volume'!$A$3:$E$42,(MATCH($C$4,'Density &amp; Volume'!$B$2:$E$2,0)+1))))</f>
        <v>#N/A</v>
      </c>
      <c r="J37" s="10"/>
      <c r="K37" s="10"/>
    </row>
    <row r="38" spans="1:11" ht="12.75">
      <c r="A38" s="72">
        <v>10</v>
      </c>
      <c r="B38" s="30"/>
      <c r="C38" s="77"/>
      <c r="D38" s="36"/>
      <c r="E38" s="77"/>
      <c r="F38" s="56" t="e">
        <f>SUM(((((((VLOOKUP(B38,$L$9:$M$23,2,FALSE))/2)/12)^2)*PI())*C38)*(VLOOKUP((IF($C$5="Low Temp",-20,IF($C$5="Medium Temp",20,IF($C$5="HVAC",45,0)))),'Density &amp; Volume'!$F$3:$J$42,(MATCH($C$4,'Density &amp; Volume'!$G$2:$J$2,0)+1)))+((((((VLOOKUP(D38,$L$9:$M$23,2,FALSE))/2)/12)^2)*PI())*E38)*(VLOOKUP(IF($C$6="YES",50,IF(AND($C$5="Low Temp",$C$6="NO"),100,IF($C$5="Medium Temp",105,IF($C$5="HVAC",115,0)))),'Density &amp; Volume'!$A$3:$E$42,(MATCH($C$4,'Density &amp; Volume'!$B$2:$E$2,0)+1))))</f>
        <v>#N/A</v>
      </c>
      <c r="J38" s="10"/>
      <c r="K38" s="10"/>
    </row>
    <row r="39" spans="1:11" ht="12.75">
      <c r="A39" s="72">
        <v>11</v>
      </c>
      <c r="B39" s="30"/>
      <c r="C39" s="77"/>
      <c r="D39" s="36"/>
      <c r="E39" s="77"/>
      <c r="F39" s="56" t="e">
        <f>SUM(((((((VLOOKUP(B39,$L$9:$M$23,2,FALSE))/2)/12)^2)*PI())*C39)*(VLOOKUP((IF($C$5="Low Temp",-20,IF($C$5="Medium Temp",20,IF($C$5="HVAC",45,0)))),'Density &amp; Volume'!$F$3:$J$42,(MATCH($C$4,'Density &amp; Volume'!$G$2:$J$2,0)+1)))+((((((VLOOKUP(D39,$L$9:$M$23,2,FALSE))/2)/12)^2)*PI())*E39)*(VLOOKUP(IF($C$6="YES",50,IF(AND($C$5="Low Temp",$C$6="NO"),100,IF($C$5="Medium Temp",105,IF($C$5="HVAC",115,0)))),'Density &amp; Volume'!$A$3:$E$42,(MATCH($C$4,'Density &amp; Volume'!$B$2:$E$2,0)+1))))</f>
        <v>#N/A</v>
      </c>
      <c r="J39" s="10"/>
      <c r="K39" s="10"/>
    </row>
    <row r="40" spans="1:11" ht="12.75">
      <c r="A40" s="72">
        <v>12</v>
      </c>
      <c r="B40" s="30"/>
      <c r="C40" s="77"/>
      <c r="D40" s="36"/>
      <c r="E40" s="77"/>
      <c r="F40" s="56" t="e">
        <f>SUM(((((((VLOOKUP(B40,$L$9:$M$23,2,FALSE))/2)/12)^2)*PI())*C40)*(VLOOKUP((IF($C$5="Low Temp",-20,IF($C$5="Medium Temp",20,IF($C$5="HVAC",45,0)))),'Density &amp; Volume'!$F$3:$J$42,(MATCH($C$4,'Density &amp; Volume'!$G$2:$J$2,0)+1)))+((((((VLOOKUP(D40,$L$9:$M$23,2,FALSE))/2)/12)^2)*PI())*E40)*(VLOOKUP(IF($C$6="YES",50,IF(AND($C$5="Low Temp",$C$6="NO"),100,IF($C$5="Medium Temp",105,IF($C$5="HVAC",115,0)))),'Density &amp; Volume'!$A$3:$E$42,(MATCH($C$4,'Density &amp; Volume'!$B$2:$E$2,0)+1))))</f>
        <v>#N/A</v>
      </c>
      <c r="J40" s="10"/>
      <c r="K40" s="10"/>
    </row>
    <row r="41" spans="1:11" ht="12.75">
      <c r="A41" s="72">
        <v>13</v>
      </c>
      <c r="B41" s="30"/>
      <c r="C41" s="77"/>
      <c r="D41" s="36"/>
      <c r="E41" s="77"/>
      <c r="F41" s="56" t="e">
        <f>SUM(((((((VLOOKUP(B41,$L$9:$M$23,2,FALSE))/2)/12)^2)*PI())*C41)*(VLOOKUP((IF($C$5="Low Temp",-20,IF($C$5="Medium Temp",20,IF($C$5="HVAC",45,0)))),'Density &amp; Volume'!$F$3:$J$42,(MATCH($C$4,'Density &amp; Volume'!$G$2:$J$2,0)+1)))+((((((VLOOKUP(D41,$L$9:$M$23,2,FALSE))/2)/12)^2)*PI())*E41)*(VLOOKUP(IF($C$6="YES",50,IF(AND($C$5="Low Temp",$C$6="NO"),100,IF($C$5="Medium Temp",105,IF($C$5="HVAC",115,0)))),'Density &amp; Volume'!$A$3:$E$42,(MATCH($C$4,'Density &amp; Volume'!$B$2:$E$2,0)+1))))</f>
        <v>#N/A</v>
      </c>
      <c r="J41" s="10"/>
      <c r="K41" s="10"/>
    </row>
    <row r="42" spans="1:6" ht="12.75">
      <c r="A42" s="72">
        <v>14</v>
      </c>
      <c r="B42" s="30"/>
      <c r="C42" s="77"/>
      <c r="D42" s="36"/>
      <c r="E42" s="77"/>
      <c r="F42" s="56" t="e">
        <f>SUM(((((((VLOOKUP(B42,$L$9:$M$23,2,FALSE))/2)/12)^2)*PI())*C42)*(VLOOKUP((IF($C$5="Low Temp",-20,IF($C$5="Medium Temp",20,IF($C$5="HVAC",45,0)))),'Density &amp; Volume'!$F$3:$J$42,(MATCH($C$4,'Density &amp; Volume'!$G$2:$J$2,0)+1)))+((((((VLOOKUP(D42,$L$9:$M$23,2,FALSE))/2)/12)^2)*PI())*E42)*(VLOOKUP(IF($C$6="YES",50,IF(AND($C$5="Low Temp",$C$6="NO"),100,IF($C$5="Medium Temp",105,IF($C$5="HVAC",115,0)))),'Density &amp; Volume'!$A$3:$E$42,(MATCH($C$4,'Density &amp; Volume'!$B$2:$E$2,0)+1))))</f>
        <v>#N/A</v>
      </c>
    </row>
    <row r="43" spans="1:6" ht="12.75">
      <c r="A43" s="72">
        <v>15</v>
      </c>
      <c r="B43" s="30"/>
      <c r="C43" s="77"/>
      <c r="D43" s="36"/>
      <c r="E43" s="77"/>
      <c r="F43" s="56" t="e">
        <f>SUM(((((((VLOOKUP(B43,$L$9:$M$23,2,FALSE))/2)/12)^2)*PI())*C43)*(VLOOKUP((IF($C$5="Low Temp",-20,IF($C$5="Medium Temp",20,IF($C$5="HVAC",45,0)))),'Density &amp; Volume'!$F$3:$J$42,(MATCH($C$4,'Density &amp; Volume'!$G$2:$J$2,0)+1)))+((((((VLOOKUP(D43,$L$9:$M$23,2,FALSE))/2)/12)^2)*PI())*E43)*(VLOOKUP(IF($C$6="YES",50,IF(AND($C$5="Low Temp",$C$6="NO"),100,IF($C$5="Medium Temp",105,IF($C$5="HVAC",115,0)))),'Density &amp; Volume'!$A$3:$E$42,(MATCH($C$4,'Density &amp; Volume'!$B$2:$E$2,0)+1))))</f>
        <v>#N/A</v>
      </c>
    </row>
    <row r="44" spans="1:6" ht="12.75">
      <c r="A44" s="72">
        <v>16</v>
      </c>
      <c r="B44" s="30"/>
      <c r="C44" s="77"/>
      <c r="D44" s="36"/>
      <c r="E44" s="77"/>
      <c r="F44" s="56" t="e">
        <f>SUM(((((((VLOOKUP(B44,$L$9:$M$23,2,FALSE))/2)/12)^2)*PI())*C44)*(VLOOKUP((IF($C$5="Low Temp",-20,IF($C$5="Medium Temp",20,IF($C$5="HVAC",45,0)))),'Density &amp; Volume'!$F$3:$J$42,(MATCH($C$4,'Density &amp; Volume'!$G$2:$J$2,0)+1)))+((((((VLOOKUP(D44,$L$9:$M$23,2,FALSE))/2)/12)^2)*PI())*E44)*(VLOOKUP(IF($C$6="YES",50,IF(AND($C$5="Low Temp",$C$6="NO"),100,IF($C$5="Medium Temp",105,IF($C$5="HVAC",115,0)))),'Density &amp; Volume'!$A$3:$E$42,(MATCH($C$4,'Density &amp; Volume'!$B$2:$E$2,0)+1))))</f>
        <v>#N/A</v>
      </c>
    </row>
    <row r="45" spans="1:6" ht="12.75">
      <c r="A45" s="72">
        <v>17</v>
      </c>
      <c r="B45" s="30"/>
      <c r="C45" s="77"/>
      <c r="D45" s="36"/>
      <c r="E45" s="77"/>
      <c r="F45" s="56" t="e">
        <f>SUM(((((((VLOOKUP(B45,$L$9:$M$23,2,FALSE))/2)/12)^2)*PI())*C45)*(VLOOKUP((IF($C$5="Low Temp",-20,IF($C$5="Medium Temp",20,IF($C$5="HVAC",45,0)))),'Density &amp; Volume'!$F$3:$J$42,(MATCH($C$4,'Density &amp; Volume'!$G$2:$J$2,0)+1)))+((((((VLOOKUP(D45,$L$9:$M$23,2,FALSE))/2)/12)^2)*PI())*E45)*(VLOOKUP(IF($C$6="YES",50,IF(AND($C$5="Low Temp",$C$6="NO"),100,IF($C$5="Medium Temp",105,IF($C$5="HVAC",115,0)))),'Density &amp; Volume'!$A$3:$E$42,(MATCH($C$4,'Density &amp; Volume'!$B$2:$E$2,0)+1))))</f>
        <v>#N/A</v>
      </c>
    </row>
    <row r="46" spans="1:6" ht="12.75">
      <c r="A46" s="72">
        <v>18</v>
      </c>
      <c r="B46" s="30"/>
      <c r="C46" s="77"/>
      <c r="D46" s="36"/>
      <c r="E46" s="77"/>
      <c r="F46" s="56" t="e">
        <f>SUM(((((((VLOOKUP(B46,$L$9:$M$23,2,FALSE))/2)/12)^2)*PI())*C46)*(VLOOKUP((IF($C$5="Low Temp",-20,IF($C$5="Medium Temp",20,IF($C$5="HVAC",45,0)))),'Density &amp; Volume'!$F$3:$J$42,(MATCH($C$4,'Density &amp; Volume'!$G$2:$J$2,0)+1)))+((((((VLOOKUP(D46,$L$9:$M$23,2,FALSE))/2)/12)^2)*PI())*E46)*(VLOOKUP(IF($C$6="YES",50,IF(AND($C$5="Low Temp",$C$6="NO"),100,IF($C$5="Medium Temp",105,IF($C$5="HVAC",115,0)))),'Density &amp; Volume'!$A$3:$E$42,(MATCH($C$4,'Density &amp; Volume'!$B$2:$E$2,0)+1))))</f>
        <v>#N/A</v>
      </c>
    </row>
    <row r="47" spans="1:6" ht="12.75">
      <c r="A47" s="72">
        <v>19</v>
      </c>
      <c r="B47" s="30"/>
      <c r="C47" s="77"/>
      <c r="D47" s="36"/>
      <c r="E47" s="77"/>
      <c r="F47" s="56" t="e">
        <f>SUM(((((((VLOOKUP(B47,$L$9:$M$23,2,FALSE))/2)/12)^2)*PI())*C47)*(VLOOKUP((IF($C$5="Low Temp",-20,IF($C$5="Medium Temp",20,IF($C$5="HVAC",45,0)))),'Density &amp; Volume'!$F$3:$J$42,(MATCH($C$4,'Density &amp; Volume'!$G$2:$J$2,0)+1)))+((((((VLOOKUP(D47,$L$9:$M$23,2,FALSE))/2)/12)^2)*PI())*E47)*(VLOOKUP(IF($C$6="YES",50,IF(AND($C$5="Low Temp",$C$6="NO"),100,IF($C$5="Medium Temp",105,IF($C$5="HVAC",115,0)))),'Density &amp; Volume'!$A$3:$E$42,(MATCH($C$4,'Density &amp; Volume'!$B$2:$E$2,0)+1))))</f>
        <v>#N/A</v>
      </c>
    </row>
    <row r="48" spans="1:6" ht="13.5" thickBot="1">
      <c r="A48" s="72">
        <v>20</v>
      </c>
      <c r="B48" s="30"/>
      <c r="C48" s="77"/>
      <c r="D48" s="37"/>
      <c r="E48" s="31"/>
      <c r="F48" s="56" t="e">
        <f>SUM(((((((VLOOKUP(B48,$L$9:$M$23,2,FALSE))/2)/12)^2)*PI())*C48)*(VLOOKUP((IF($C$5="Low Temp",-20,IF($C$5="Medium Temp",20,IF($C$5="HVAC",45,0)))),'Density &amp; Volume'!$F$3:$J$42,(MATCH($C$4,'Density &amp; Volume'!$G$2:$J$2,0)+1)))+((((((VLOOKUP(D48,$L$9:$M$23,2,FALSE))/2)/12)^2)*PI())*E48)*(VLOOKUP(IF($C$6="YES",50,IF(AND($C$5="Low Temp",$C$6="NO"),100,IF($C$5="Medium Temp",105,IF($C$5="HVAC",115,0)))),'Density &amp; Volume'!$A$3:$E$42,(MATCH($C$4,'Density &amp; Volume'!$B$2:$E$2,0)+1))))</f>
        <v>#N/A</v>
      </c>
    </row>
    <row r="49" spans="1:6" ht="13.5" thickBot="1">
      <c r="A49" s="93" t="s">
        <v>57</v>
      </c>
      <c r="B49" s="94"/>
      <c r="C49" s="94"/>
      <c r="D49" s="94"/>
      <c r="E49" s="96"/>
      <c r="F49" s="46" t="s">
        <v>35</v>
      </c>
    </row>
    <row r="50" spans="1:6" ht="13.5" thickBot="1">
      <c r="A50" s="67" t="s">
        <v>28</v>
      </c>
      <c r="B50" s="68" t="s">
        <v>79</v>
      </c>
      <c r="C50" s="69" t="s">
        <v>76</v>
      </c>
      <c r="D50" s="67" t="s">
        <v>80</v>
      </c>
      <c r="E50" s="70" t="s">
        <v>68</v>
      </c>
      <c r="F50" s="47" t="s">
        <v>36</v>
      </c>
    </row>
    <row r="51" spans="1:7" ht="12.75">
      <c r="A51" s="72">
        <v>1</v>
      </c>
      <c r="B51" s="29"/>
      <c r="C51" s="76"/>
      <c r="D51" s="35"/>
      <c r="E51" s="76"/>
      <c r="F51" s="56" t="e">
        <f>SUM(((((((VLOOKUP(B51,$L$9:$M$23,2,FALSE))/2)/12)^2)*PI())*C51)*(VLOOKUP((IF($C$5="Low Temp",-20,IF($C$5="Medium Temp",20,IF($C$5="HVAC",45,0)))),'Density &amp; Volume'!$F$3:$J$42,(MATCH($C$4,'Density &amp; Volume'!$G$2:$J$2,0)+1)))+((((((VLOOKUP(D51,$L$9:$M$23,2,FALSE))/2)/12)^2)*PI())*E51)*(VLOOKUP(IF($C$6="YES",50,IF(AND($C$5="Low Temp",$C$6="NO"),100,IF($C$5="Medium Temp",105,IF($C$5="HVAC",115,0)))),'Density &amp; Volume'!$A$3:$E$42,(MATCH($C$4,'Density &amp; Volume'!$B$2:$E$2,0)+1))))</f>
        <v>#N/A</v>
      </c>
      <c r="G51" s="10"/>
    </row>
    <row r="52" spans="1:6" ht="12.75">
      <c r="A52" s="72">
        <v>2</v>
      </c>
      <c r="B52" s="30"/>
      <c r="C52" s="77"/>
      <c r="D52" s="36"/>
      <c r="E52" s="77"/>
      <c r="F52" s="56" t="e">
        <f>SUM(((((((VLOOKUP(B52,$L$9:$M$23,2,FALSE))/2)/12)^2)*PI())*C52)*(VLOOKUP((IF($C$5="Low Temp",-20,IF($C$5="Medium Temp",20,IF($C$5="HVAC",45,0)))),'Density &amp; Volume'!$F$3:$J$42,(MATCH($C$4,'Density &amp; Volume'!$G$2:$J$2,0)+1)))+((((((VLOOKUP(D52,$L$9:$M$23,2,FALSE))/2)/12)^2)*PI())*E52)*(VLOOKUP(IF($C$6="YES",50,IF(AND($C$5="Low Temp",$C$6="NO"),100,IF($C$5="Medium Temp",105,IF($C$5="HVAC",115,0)))),'Density &amp; Volume'!$A$3:$E$42,(MATCH($C$4,'Density &amp; Volume'!$B$2:$E$2,0)+1))))</f>
        <v>#N/A</v>
      </c>
    </row>
    <row r="53" spans="1:6" ht="12.75">
      <c r="A53" s="72">
        <v>3</v>
      </c>
      <c r="B53" s="30"/>
      <c r="C53" s="77"/>
      <c r="D53" s="36"/>
      <c r="E53" s="77"/>
      <c r="F53" s="56" t="e">
        <f>SUM(((((((VLOOKUP(B53,$L$9:$M$23,2,FALSE))/2)/12)^2)*PI())*C53)*(VLOOKUP((IF($C$5="Low Temp",-20,IF($C$5="Medium Temp",20,IF($C$5="HVAC",45,0)))),'Density &amp; Volume'!$F$3:$J$42,(MATCH($C$4,'Density &amp; Volume'!$G$2:$J$2,0)+1)))+((((((VLOOKUP(D53,$L$9:$M$23,2,FALSE))/2)/12)^2)*PI())*E53)*(VLOOKUP(IF($C$6="YES",50,IF(AND($C$5="Low Temp",$C$6="NO"),100,IF($C$5="Medium Temp",105,IF($C$5="HVAC",115,0)))),'Density &amp; Volume'!$A$3:$E$42,(MATCH($C$4,'Density &amp; Volume'!$B$2:$E$2,0)+1))))</f>
        <v>#N/A</v>
      </c>
    </row>
    <row r="54" spans="1:6" ht="12.75">
      <c r="A54" s="72">
        <v>4</v>
      </c>
      <c r="B54" s="30"/>
      <c r="C54" s="77"/>
      <c r="D54" s="36"/>
      <c r="E54" s="77"/>
      <c r="F54" s="56" t="e">
        <f>SUM(((((((VLOOKUP(B54,$L$9:$M$23,2,FALSE))/2)/12)^2)*PI())*C54)*(VLOOKUP((IF($C$5="Low Temp",-20,IF($C$5="Medium Temp",20,IF($C$5="HVAC",45,0)))),'Density &amp; Volume'!$F$3:$J$42,(MATCH($C$4,'Density &amp; Volume'!$G$2:$J$2,0)+1)))+((((((VLOOKUP(D54,$L$9:$M$23,2,FALSE))/2)/12)^2)*PI())*E54)*(VLOOKUP(IF($C$6="YES",50,IF(AND($C$5="Low Temp",$C$6="NO"),100,IF($C$5="Medium Temp",105,IF($C$5="HVAC",115,0)))),'Density &amp; Volume'!$A$3:$E$42,(MATCH($C$4,'Density &amp; Volume'!$B$2:$E$2,0)+1))))</f>
        <v>#N/A</v>
      </c>
    </row>
    <row r="55" spans="1:6" ht="12.75">
      <c r="A55" s="72">
        <v>5</v>
      </c>
      <c r="B55" s="30"/>
      <c r="C55" s="77"/>
      <c r="D55" s="36"/>
      <c r="E55" s="77"/>
      <c r="F55" s="56" t="e">
        <f>SUM(((((((VLOOKUP(B55,$L$9:$M$23,2,FALSE))/2)/12)^2)*PI())*C55)*(VLOOKUP((IF($C$5="Low Temp",-20,IF($C$5="Medium Temp",20,IF($C$5="HVAC",45,0)))),'Density &amp; Volume'!$F$3:$J$42,(MATCH($C$4,'Density &amp; Volume'!$G$2:$J$2,0)+1)))+((((((VLOOKUP(D55,$L$9:$M$23,2,FALSE))/2)/12)^2)*PI())*E55)*(VLOOKUP(IF($C$6="YES",50,IF(AND($C$5="Low Temp",$C$6="NO"),100,IF($C$5="Medium Temp",105,IF($C$5="HVAC",115,0)))),'Density &amp; Volume'!$A$3:$E$42,(MATCH($C$4,'Density &amp; Volume'!$B$2:$E$2,0)+1))))</f>
        <v>#N/A</v>
      </c>
    </row>
    <row r="56" spans="1:6" ht="12.75">
      <c r="A56" s="72">
        <v>6</v>
      </c>
      <c r="B56" s="30"/>
      <c r="C56" s="77"/>
      <c r="D56" s="36"/>
      <c r="E56" s="77"/>
      <c r="F56" s="56" t="e">
        <f>SUM(((((((VLOOKUP(B56,$L$9:$M$23,2,FALSE))/2)/12)^2)*PI())*C56)*(VLOOKUP((IF($C$5="Low Temp",-20,IF($C$5="Medium Temp",20,IF($C$5="HVAC",45,0)))),'Density &amp; Volume'!$F$3:$J$42,(MATCH($C$4,'Density &amp; Volume'!$G$2:$J$2,0)+1)))+((((((VLOOKUP(D56,$L$9:$M$23,2,FALSE))/2)/12)^2)*PI())*E56)*(VLOOKUP(IF($C$6="YES",50,IF(AND($C$5="Low Temp",$C$6="NO"),100,IF($C$5="Medium Temp",105,IF($C$5="HVAC",115,0)))),'Density &amp; Volume'!$A$3:$E$42,(MATCH($C$4,'Density &amp; Volume'!$B$2:$E$2,0)+1))))</f>
        <v>#N/A</v>
      </c>
    </row>
    <row r="57" spans="1:6" ht="12.75">
      <c r="A57" s="72">
        <v>7</v>
      </c>
      <c r="B57" s="30"/>
      <c r="C57" s="77"/>
      <c r="D57" s="36"/>
      <c r="E57" s="77"/>
      <c r="F57" s="56" t="e">
        <f>SUM(((((((VLOOKUP(B57,$L$9:$M$23,2,FALSE))/2)/12)^2)*PI())*C57)*(VLOOKUP((IF($C$5="Low Temp",-20,IF($C$5="Medium Temp",20,IF($C$5="HVAC",45,0)))),'Density &amp; Volume'!$F$3:$J$42,(MATCH($C$4,'Density &amp; Volume'!$G$2:$J$2,0)+1)))+((((((VLOOKUP(D57,$L$9:$M$23,2,FALSE))/2)/12)^2)*PI())*E57)*(VLOOKUP(IF($C$6="YES",50,IF(AND($C$5="Low Temp",$C$6="NO"),100,IF($C$5="Medium Temp",105,IF($C$5="HVAC",115,0)))),'Density &amp; Volume'!$A$3:$E$42,(MATCH($C$4,'Density &amp; Volume'!$B$2:$E$2,0)+1))))</f>
        <v>#N/A</v>
      </c>
    </row>
    <row r="58" spans="1:6" ht="12.75">
      <c r="A58" s="72">
        <v>8</v>
      </c>
      <c r="B58" s="30"/>
      <c r="C58" s="77"/>
      <c r="D58" s="36"/>
      <c r="E58" s="77"/>
      <c r="F58" s="56" t="e">
        <f>SUM(((((((VLOOKUP(B58,$L$9:$M$23,2,FALSE))/2)/12)^2)*PI())*C58)*(VLOOKUP((IF($C$5="Low Temp",-20,IF($C$5="Medium Temp",20,IF($C$5="HVAC",45,0)))),'Density &amp; Volume'!$F$3:$J$42,(MATCH($C$4,'Density &amp; Volume'!$G$2:$J$2,0)+1)))+((((((VLOOKUP(D58,$L$9:$M$23,2,FALSE))/2)/12)^2)*PI())*E58)*(VLOOKUP(IF($C$6="YES",50,IF(AND($C$5="Low Temp",$C$6="NO"),100,IF($C$5="Medium Temp",105,IF($C$5="HVAC",115,0)))),'Density &amp; Volume'!$A$3:$E$42,(MATCH($C$4,'Density &amp; Volume'!$B$2:$E$2,0)+1))))</f>
        <v>#N/A</v>
      </c>
    </row>
    <row r="59" spans="1:6" ht="12.75">
      <c r="A59" s="72">
        <v>9</v>
      </c>
      <c r="B59" s="30"/>
      <c r="C59" s="77"/>
      <c r="D59" s="36"/>
      <c r="E59" s="77"/>
      <c r="F59" s="56" t="e">
        <f>SUM(((((((VLOOKUP(B59,$L$9:$M$23,2,FALSE))/2)/12)^2)*PI())*C59)*(VLOOKUP((IF($C$5="Low Temp",-20,IF($C$5="Medium Temp",20,IF($C$5="HVAC",45,0)))),'Density &amp; Volume'!$F$3:$J$42,(MATCH($C$4,'Density &amp; Volume'!$G$2:$J$2,0)+1)))+((((((VLOOKUP(D59,$L$9:$M$23,2,FALSE))/2)/12)^2)*PI())*E59)*(VLOOKUP(IF($C$6="YES",50,IF(AND($C$5="Low Temp",$C$6="NO"),100,IF($C$5="Medium Temp",105,IF($C$5="HVAC",115,0)))),'Density &amp; Volume'!$A$3:$E$42,(MATCH($C$4,'Density &amp; Volume'!$B$2:$E$2,0)+1))))</f>
        <v>#N/A</v>
      </c>
    </row>
    <row r="60" spans="1:6" ht="12.75">
      <c r="A60" s="72">
        <v>10</v>
      </c>
      <c r="B60" s="30"/>
      <c r="C60" s="77"/>
      <c r="D60" s="36"/>
      <c r="E60" s="77"/>
      <c r="F60" s="56" t="e">
        <f>SUM(((((((VLOOKUP(B60,$L$9:$M$23,2,FALSE))/2)/12)^2)*PI())*C60)*(VLOOKUP((IF($C$5="Low Temp",-20,IF($C$5="Medium Temp",20,IF($C$5="HVAC",45,0)))),'Density &amp; Volume'!$F$3:$J$42,(MATCH($C$4,'Density &amp; Volume'!$G$2:$J$2,0)+1)))+((((((VLOOKUP(D60,$L$9:$M$23,2,FALSE))/2)/12)^2)*PI())*E60)*(VLOOKUP(IF($C$6="YES",50,IF(AND($C$5="Low Temp",$C$6="NO"),100,IF($C$5="Medium Temp",105,IF($C$5="HVAC",115,0)))),'Density &amp; Volume'!$A$3:$E$42,(MATCH($C$4,'Density &amp; Volume'!$B$2:$E$2,0)+1))))</f>
        <v>#N/A</v>
      </c>
    </row>
    <row r="61" spans="1:6" ht="12.75">
      <c r="A61" s="72">
        <v>11</v>
      </c>
      <c r="B61" s="30"/>
      <c r="C61" s="77"/>
      <c r="D61" s="36"/>
      <c r="E61" s="77"/>
      <c r="F61" s="56" t="e">
        <f>SUM(((((((VLOOKUP(B61,$L$9:$M$23,2,FALSE))/2)/12)^2)*PI())*C61)*(VLOOKUP((IF($C$5="Low Temp",-20,IF($C$5="Medium Temp",20,IF($C$5="HVAC",45,0)))),'Density &amp; Volume'!$F$3:$J$42,(MATCH($C$4,'Density &amp; Volume'!$G$2:$J$2,0)+1)))+((((((VLOOKUP(D61,$L$9:$M$23,2,FALSE))/2)/12)^2)*PI())*E61)*(VLOOKUP(IF($C$6="YES",50,IF(AND($C$5="Low Temp",$C$6="NO"),100,IF($C$5="Medium Temp",105,IF($C$5="HVAC",115,0)))),'Density &amp; Volume'!$A$3:$E$42,(MATCH($C$4,'Density &amp; Volume'!$B$2:$E$2,0)+1))))</f>
        <v>#N/A</v>
      </c>
    </row>
    <row r="62" spans="1:6" ht="12.75">
      <c r="A62" s="72">
        <v>12</v>
      </c>
      <c r="B62" s="30"/>
      <c r="C62" s="77"/>
      <c r="D62" s="36"/>
      <c r="E62" s="77"/>
      <c r="F62" s="56" t="e">
        <f>SUM(((((((VLOOKUP(B62,$L$9:$M$23,2,FALSE))/2)/12)^2)*PI())*C62)*(VLOOKUP((IF($C$5="Low Temp",-20,IF($C$5="Medium Temp",20,IF($C$5="HVAC",45,0)))),'Density &amp; Volume'!$F$3:$J$42,(MATCH($C$4,'Density &amp; Volume'!$G$2:$J$2,0)+1)))+((((((VLOOKUP(D62,$L$9:$M$23,2,FALSE))/2)/12)^2)*PI())*E62)*(VLOOKUP(IF($C$6="YES",50,IF(AND($C$5="Low Temp",$C$6="NO"),100,IF($C$5="Medium Temp",105,IF($C$5="HVAC",115,0)))),'Density &amp; Volume'!$A$3:$E$42,(MATCH($C$4,'Density &amp; Volume'!$B$2:$E$2,0)+1))))</f>
        <v>#N/A</v>
      </c>
    </row>
    <row r="63" spans="1:6" ht="12.75">
      <c r="A63" s="72">
        <v>13</v>
      </c>
      <c r="B63" s="30"/>
      <c r="C63" s="77"/>
      <c r="D63" s="36"/>
      <c r="E63" s="77"/>
      <c r="F63" s="56" t="e">
        <f>SUM(((((((VLOOKUP(B63,$L$9:$M$23,2,FALSE))/2)/12)^2)*PI())*C63)*(VLOOKUP((IF($C$5="Low Temp",-20,IF($C$5="Medium Temp",20,IF($C$5="HVAC",45,0)))),'Density &amp; Volume'!$F$3:$J$42,(MATCH($C$4,'Density &amp; Volume'!$G$2:$J$2,0)+1)))+((((((VLOOKUP(D63,$L$9:$M$23,2,FALSE))/2)/12)^2)*PI())*E63)*(VLOOKUP(IF($C$6="YES",50,IF(AND($C$5="Low Temp",$C$6="NO"),100,IF($C$5="Medium Temp",105,IF($C$5="HVAC",115,0)))),'Density &amp; Volume'!$A$3:$E$42,(MATCH($C$4,'Density &amp; Volume'!$B$2:$E$2,0)+1))))</f>
        <v>#N/A</v>
      </c>
    </row>
    <row r="64" spans="1:6" ht="12.75">
      <c r="A64" s="72">
        <v>14</v>
      </c>
      <c r="B64" s="30"/>
      <c r="C64" s="77"/>
      <c r="D64" s="36"/>
      <c r="E64" s="77"/>
      <c r="F64" s="56" t="e">
        <f>SUM(((((((VLOOKUP(B64,$L$9:$M$23,2,FALSE))/2)/12)^2)*PI())*C64)*(VLOOKUP((IF($C$5="Low Temp",-20,IF($C$5="Medium Temp",20,IF($C$5="HVAC",45,0)))),'Density &amp; Volume'!$F$3:$J$42,(MATCH($C$4,'Density &amp; Volume'!$G$2:$J$2,0)+1)))+((((((VLOOKUP(D64,$L$9:$M$23,2,FALSE))/2)/12)^2)*PI())*E64)*(VLOOKUP(IF($C$6="YES",50,IF(AND($C$5="Low Temp",$C$6="NO"),100,IF($C$5="Medium Temp",105,IF($C$5="HVAC",115,0)))),'Density &amp; Volume'!$A$3:$E$42,(MATCH($C$4,'Density &amp; Volume'!$B$2:$E$2,0)+1))))</f>
        <v>#N/A</v>
      </c>
    </row>
    <row r="65" spans="1:6" ht="12.75">
      <c r="A65" s="72">
        <v>15</v>
      </c>
      <c r="B65" s="30"/>
      <c r="C65" s="77"/>
      <c r="D65" s="36"/>
      <c r="E65" s="77"/>
      <c r="F65" s="56" t="e">
        <f>SUM(((((((VLOOKUP(B65,$L$9:$M$23,2,FALSE))/2)/12)^2)*PI())*C65)*(VLOOKUP((IF($C$5="Low Temp",-20,IF($C$5="Medium Temp",20,IF($C$5="HVAC",45,0)))),'Density &amp; Volume'!$F$3:$J$42,(MATCH($C$4,'Density &amp; Volume'!$G$2:$J$2,0)+1)))+((((((VLOOKUP(D65,$L$9:$M$23,2,FALSE))/2)/12)^2)*PI())*E65)*(VLOOKUP(IF($C$6="YES",50,IF(AND($C$5="Low Temp",$C$6="NO"),100,IF($C$5="Medium Temp",105,IF($C$5="HVAC",115,0)))),'Density &amp; Volume'!$A$3:$E$42,(MATCH($C$4,'Density &amp; Volume'!$B$2:$E$2,0)+1))))</f>
        <v>#N/A</v>
      </c>
    </row>
    <row r="66" spans="1:6" ht="12.75">
      <c r="A66" s="72">
        <v>16</v>
      </c>
      <c r="B66" s="30"/>
      <c r="C66" s="77"/>
      <c r="D66" s="36"/>
      <c r="E66" s="77"/>
      <c r="F66" s="56" t="e">
        <f>SUM(((((((VLOOKUP(B66,$L$9:$M$23,2,FALSE))/2)/12)^2)*PI())*C66)*(VLOOKUP((IF($C$5="Low Temp",-20,IF($C$5="Medium Temp",20,IF($C$5="HVAC",45,0)))),'Density &amp; Volume'!$F$3:$J$42,(MATCH($C$4,'Density &amp; Volume'!$G$2:$J$2,0)+1)))+((((((VLOOKUP(D66,$L$9:$M$23,2,FALSE))/2)/12)^2)*PI())*E66)*(VLOOKUP(IF($C$6="YES",50,IF(AND($C$5="Low Temp",$C$6="NO"),100,IF($C$5="Medium Temp",105,IF($C$5="HVAC",115,0)))),'Density &amp; Volume'!$A$3:$E$42,(MATCH($C$4,'Density &amp; Volume'!$B$2:$E$2,0)+1))))</f>
        <v>#N/A</v>
      </c>
    </row>
    <row r="67" spans="1:6" ht="12.75">
      <c r="A67" s="72">
        <v>17</v>
      </c>
      <c r="B67" s="30"/>
      <c r="C67" s="77"/>
      <c r="D67" s="36"/>
      <c r="E67" s="77"/>
      <c r="F67" s="56" t="e">
        <f>SUM(((((((VLOOKUP(B67,$L$9:$M$23,2,FALSE))/2)/12)^2)*PI())*C67)*(VLOOKUP((IF($C$5="Low Temp",-20,IF($C$5="Medium Temp",20,IF($C$5="HVAC",45,0)))),'Density &amp; Volume'!$F$3:$J$42,(MATCH($C$4,'Density &amp; Volume'!$G$2:$J$2,0)+1)))+((((((VLOOKUP(D67,$L$9:$M$23,2,FALSE))/2)/12)^2)*PI())*E67)*(VLOOKUP(IF($C$6="YES",50,IF(AND($C$5="Low Temp",$C$6="NO"),100,IF($C$5="Medium Temp",105,IF($C$5="HVAC",115,0)))),'Density &amp; Volume'!$A$3:$E$42,(MATCH($C$4,'Density &amp; Volume'!$B$2:$E$2,0)+1))))</f>
        <v>#N/A</v>
      </c>
    </row>
    <row r="68" spans="1:6" ht="12.75">
      <c r="A68" s="72">
        <v>18</v>
      </c>
      <c r="B68" s="30"/>
      <c r="C68" s="77"/>
      <c r="D68" s="36"/>
      <c r="E68" s="77"/>
      <c r="F68" s="56" t="e">
        <f>SUM(((((((VLOOKUP(B68,$L$9:$M$23,2,FALSE))/2)/12)^2)*PI())*C68)*(VLOOKUP((IF($C$5="Low Temp",-20,IF($C$5="Medium Temp",20,IF($C$5="HVAC",45,0)))),'Density &amp; Volume'!$F$3:$J$42,(MATCH($C$4,'Density &amp; Volume'!$G$2:$J$2,0)+1)))+((((((VLOOKUP(D68,$L$9:$M$23,2,FALSE))/2)/12)^2)*PI())*E68)*(VLOOKUP(IF($C$6="YES",50,IF(AND($C$5="Low Temp",$C$6="NO"),100,IF($C$5="Medium Temp",105,IF($C$5="HVAC",115,0)))),'Density &amp; Volume'!$A$3:$E$42,(MATCH($C$4,'Density &amp; Volume'!$B$2:$E$2,0)+1))))</f>
        <v>#N/A</v>
      </c>
    </row>
    <row r="69" spans="1:6" ht="12.75">
      <c r="A69" s="72">
        <v>19</v>
      </c>
      <c r="B69" s="30"/>
      <c r="C69" s="77"/>
      <c r="D69" s="36"/>
      <c r="E69" s="77"/>
      <c r="F69" s="56" t="e">
        <f>SUM(((((((VLOOKUP(B69,$L$9:$M$23,2,FALSE))/2)/12)^2)*PI())*C69)*(VLOOKUP((IF($C$5="Low Temp",-20,IF($C$5="Medium Temp",20,IF($C$5="HVAC",45,0)))),'Density &amp; Volume'!$F$3:$J$42,(MATCH($C$4,'Density &amp; Volume'!$G$2:$J$2,0)+1)))+((((((VLOOKUP(D69,$L$9:$M$23,2,FALSE))/2)/12)^2)*PI())*E69)*(VLOOKUP(IF($C$6="YES",50,IF(AND($C$5="Low Temp",$C$6="NO"),100,IF($C$5="Medium Temp",105,IF($C$5="HVAC",115,0)))),'Density &amp; Volume'!$A$3:$E$42,(MATCH($C$4,'Density &amp; Volume'!$B$2:$E$2,0)+1))))</f>
        <v>#N/A</v>
      </c>
    </row>
    <row r="70" spans="1:6" ht="13.5" thickBot="1">
      <c r="A70" s="73">
        <v>20</v>
      </c>
      <c r="B70" s="32"/>
      <c r="C70" s="78"/>
      <c r="D70" s="37"/>
      <c r="E70" s="78"/>
      <c r="F70" s="57" t="e">
        <f>SUM(((((((VLOOKUP(B70,$L$9:$M$23,2,FALSE))/2)/12)^2)*PI())*C70)*(VLOOKUP((IF($C$5="Low Temp",-20,IF($C$5="Medium Temp",20,IF($C$5="HVAC",45,0)))),'Density &amp; Volume'!$F$3:$J$42,(MATCH($C$4,'Density &amp; Volume'!$G$2:$J$2,0)+1)))+((((((VLOOKUP(D70,$L$9:$M$23,2,FALSE))/2)/12)^2)*PI())*E70)*(VLOOKUP(IF($C$6="YES",50,IF(AND($C$5="Low Temp",$C$6="NO"),100,IF($C$5="Medium Temp",105,IF($C$5="HVAC",115,0)))),'Density &amp; Volume'!$A$3:$E$42,(MATCH($C$4,'Density &amp; Volume'!$B$2:$E$2,0)+1))))</f>
        <v>#N/A</v>
      </c>
    </row>
    <row r="71" spans="1:6" ht="7.5" customHeight="1" thickBot="1">
      <c r="A71" s="44"/>
      <c r="B71" s="44"/>
      <c r="C71" s="74"/>
      <c r="D71" s="75"/>
      <c r="E71" s="75"/>
      <c r="F71" s="45"/>
    </row>
    <row r="72" spans="1:6" ht="13.5" customHeight="1" thickBot="1">
      <c r="A72" s="93" t="s">
        <v>67</v>
      </c>
      <c r="B72" s="94"/>
      <c r="C72" s="94"/>
      <c r="D72" s="94"/>
      <c r="E72" s="96"/>
      <c r="F72" s="50" t="s">
        <v>13</v>
      </c>
    </row>
    <row r="73" spans="1:6" ht="13.5" customHeight="1">
      <c r="A73" s="117"/>
      <c r="B73" s="117"/>
      <c r="C73" s="117"/>
      <c r="D73" s="117"/>
      <c r="E73" s="117"/>
      <c r="F73" s="117"/>
    </row>
    <row r="74" spans="1:6" ht="13.5" customHeight="1">
      <c r="A74" s="118"/>
      <c r="B74" s="118"/>
      <c r="C74" s="118"/>
      <c r="D74" s="118"/>
      <c r="E74" s="118"/>
      <c r="F74" s="118"/>
    </row>
    <row r="75" spans="1:6" ht="13.5" customHeight="1" thickBot="1">
      <c r="A75" s="119"/>
      <c r="B75" s="119"/>
      <c r="C75" s="119"/>
      <c r="D75" s="119"/>
      <c r="E75" s="119"/>
      <c r="F75" s="119"/>
    </row>
    <row r="76" spans="1:6" ht="7.5" customHeight="1" thickBot="1">
      <c r="A76" s="44"/>
      <c r="B76" s="44"/>
      <c r="C76" s="83"/>
      <c r="D76" s="84"/>
      <c r="E76" s="84"/>
      <c r="F76" s="45"/>
    </row>
    <row r="77" spans="1:6" ht="13.5" thickBot="1">
      <c r="A77" s="44"/>
      <c r="B77" s="44"/>
      <c r="C77" s="93" t="s">
        <v>53</v>
      </c>
      <c r="D77" s="94"/>
      <c r="E77" s="96"/>
      <c r="F77" s="51" t="e">
        <f>F6+F9+F11+SUM(F15:F17)+F21+F25+SUM(F29:F70)+F73</f>
        <v>#N/A</v>
      </c>
    </row>
  </sheetData>
  <sheetProtection selectLockedCells="1"/>
  <mergeCells count="28">
    <mergeCell ref="A3:B3"/>
    <mergeCell ref="F73:F75"/>
    <mergeCell ref="A4:B4"/>
    <mergeCell ref="A5:B5"/>
    <mergeCell ref="A6:B6"/>
    <mergeCell ref="A72:E72"/>
    <mergeCell ref="A73:E75"/>
    <mergeCell ref="D20:E20"/>
    <mergeCell ref="O8:R8"/>
    <mergeCell ref="A10:D10"/>
    <mergeCell ref="A19:E19"/>
    <mergeCell ref="A20:B20"/>
    <mergeCell ref="A13:E13"/>
    <mergeCell ref="L8:M8"/>
    <mergeCell ref="A14:B14"/>
    <mergeCell ref="A15:B15"/>
    <mergeCell ref="A16:B16"/>
    <mergeCell ref="A17:B17"/>
    <mergeCell ref="C2:D2"/>
    <mergeCell ref="A1:F1"/>
    <mergeCell ref="A8:D8"/>
    <mergeCell ref="C77:E77"/>
    <mergeCell ref="D21:E21"/>
    <mergeCell ref="A21:B21"/>
    <mergeCell ref="A23:B23"/>
    <mergeCell ref="D23:E23"/>
    <mergeCell ref="A27:E27"/>
    <mergeCell ref="A49:E49"/>
  </mergeCells>
  <dataValidations count="7">
    <dataValidation type="list" allowBlank="1" showInputMessage="1" showErrorMessage="1" sqref="C6">
      <formula1>$J$9:$J$10</formula1>
    </dataValidation>
    <dataValidation type="list" allowBlank="1" showInputMessage="1" showErrorMessage="1" sqref="C4">
      <formula1>$K$9:$K$12</formula1>
    </dataValidation>
    <dataValidation type="list" allowBlank="1" showInputMessage="1" showErrorMessage="1" sqref="C5">
      <formula1>$N$9:$N$11</formula1>
    </dataValidation>
    <dataValidation type="list" allowBlank="1" showInputMessage="1" showErrorMessage="1" sqref="D51:D70 D29:D48 A9:D9 A11:D11">
      <formula1>$L$10:$L$21</formula1>
    </dataValidation>
    <dataValidation type="whole" operator="greaterThan" allowBlank="1" showInputMessage="1" showErrorMessage="1" error="Must Be Greater Than 0" sqref="C7">
      <formula1>0</formula1>
    </dataValidation>
    <dataValidation type="list" allowBlank="1" showInputMessage="1" showErrorMessage="1" sqref="A25 C15:D17 B51:B70 B29:B48 D25">
      <formula1>$L$10:$L$23</formula1>
    </dataValidation>
    <dataValidation type="list" allowBlank="1" showInputMessage="1" showErrorMessage="1" sqref="E6">
      <formula1>$O$10:$O$19</formula1>
    </dataValidation>
  </dataValidations>
  <printOptions horizontalCentered="1"/>
  <pageMargins left="0.5" right="0.5" top="0.75" bottom="0.75" header="0.5" footer="0.5"/>
  <pageSetup fitToHeight="1" fitToWidth="1" horizontalDpi="600" verticalDpi="600" orientation="portrait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2"/>
  <sheetViews>
    <sheetView zoomScalePageLayoutView="0" workbookViewId="0" topLeftCell="A1">
      <selection activeCell="B31" sqref="B31"/>
    </sheetView>
  </sheetViews>
  <sheetFormatPr defaultColWidth="11.421875" defaultRowHeight="12.75"/>
  <cols>
    <col min="1" max="1" width="10.8515625" style="0" customWidth="1"/>
    <col min="2" max="5" width="8.8515625" style="0" customWidth="1"/>
    <col min="6" max="6" width="3.28125" style="0" hidden="1" customWidth="1"/>
    <col min="7" max="7" width="8.8515625" style="0" customWidth="1"/>
    <col min="8" max="8" width="10.8515625" style="0" customWidth="1"/>
    <col min="9" max="9" width="8.8515625" style="0" customWidth="1"/>
    <col min="10" max="10" width="10.8515625" style="0" customWidth="1"/>
    <col min="11" max="16384" width="8.8515625" style="0" customWidth="1"/>
  </cols>
  <sheetData>
    <row r="1" spans="1:10" ht="49.5" thickBot="1" thickTop="1">
      <c r="A1" s="5" t="s">
        <v>20</v>
      </c>
      <c r="B1" s="126" t="s">
        <v>39</v>
      </c>
      <c r="C1" s="127"/>
      <c r="D1" s="127"/>
      <c r="E1" s="128"/>
      <c r="F1" s="5" t="s">
        <v>20</v>
      </c>
      <c r="G1" s="126" t="s">
        <v>61</v>
      </c>
      <c r="H1" s="127"/>
      <c r="I1" s="127"/>
      <c r="J1" s="128"/>
    </row>
    <row r="2" spans="1:10" ht="27.75" thickBot="1" thickTop="1">
      <c r="A2" s="6" t="s">
        <v>21</v>
      </c>
      <c r="B2" s="14" t="s">
        <v>16</v>
      </c>
      <c r="C2" s="14" t="s">
        <v>17</v>
      </c>
      <c r="D2" s="14" t="s">
        <v>18</v>
      </c>
      <c r="E2" s="14" t="s">
        <v>19</v>
      </c>
      <c r="F2" s="6" t="s">
        <v>21</v>
      </c>
      <c r="G2" s="14" t="s">
        <v>16</v>
      </c>
      <c r="H2" s="14" t="s">
        <v>17</v>
      </c>
      <c r="I2" s="14" t="s">
        <v>18</v>
      </c>
      <c r="J2" s="14" t="s">
        <v>19</v>
      </c>
    </row>
    <row r="3" spans="1:10" ht="13.5" thickTop="1">
      <c r="A3" s="15">
        <v>-40</v>
      </c>
      <c r="B3" s="15">
        <v>88.006</v>
      </c>
      <c r="C3" s="7">
        <v>80.11</v>
      </c>
      <c r="D3" s="7">
        <v>88.31</v>
      </c>
      <c r="E3" s="7">
        <v>88.71</v>
      </c>
      <c r="F3" s="15">
        <v>-40</v>
      </c>
      <c r="G3" s="38">
        <v>0.30342</v>
      </c>
      <c r="H3" s="38">
        <v>0.4355</v>
      </c>
      <c r="I3" s="38">
        <v>0.1727</v>
      </c>
      <c r="J3" s="38">
        <v>0.4791</v>
      </c>
    </row>
    <row r="4" spans="1:10" ht="12.75">
      <c r="A4" s="16">
        <v>-35</v>
      </c>
      <c r="B4" s="16">
        <v>87.501</v>
      </c>
      <c r="C4" s="8">
        <v>79.57</v>
      </c>
      <c r="D4" s="8">
        <v>87.81</v>
      </c>
      <c r="E4" s="8">
        <v>88.08</v>
      </c>
      <c r="F4" s="16">
        <v>-35</v>
      </c>
      <c r="G4" s="39">
        <v>0.34181</v>
      </c>
      <c r="H4" s="39">
        <v>0.4896</v>
      </c>
      <c r="I4" s="39">
        <v>0.1977</v>
      </c>
      <c r="J4" s="39">
        <v>0.5383</v>
      </c>
    </row>
    <row r="5" spans="1:10" ht="12.75">
      <c r="A5" s="16">
        <v>-30</v>
      </c>
      <c r="B5" s="16">
        <v>86.991</v>
      </c>
      <c r="C5" s="8">
        <v>79.02</v>
      </c>
      <c r="D5" s="8">
        <v>87.31</v>
      </c>
      <c r="E5" s="8">
        <v>87.44</v>
      </c>
      <c r="F5" s="16">
        <v>-30</v>
      </c>
      <c r="G5" s="39">
        <v>0.38389</v>
      </c>
      <c r="H5" s="39">
        <v>0.5488</v>
      </c>
      <c r="I5" s="39">
        <v>0.2254</v>
      </c>
      <c r="J5" s="39">
        <v>0.6029</v>
      </c>
    </row>
    <row r="6" spans="1:10" ht="12.75">
      <c r="A6" s="16">
        <v>-25</v>
      </c>
      <c r="B6" s="16">
        <v>86.476</v>
      </c>
      <c r="C6" s="8">
        <v>78.47</v>
      </c>
      <c r="D6" s="8">
        <v>86.81</v>
      </c>
      <c r="E6" s="8">
        <v>86.8</v>
      </c>
      <c r="F6" s="16">
        <v>-25</v>
      </c>
      <c r="G6" s="39">
        <v>0.42993</v>
      </c>
      <c r="H6" s="39">
        <v>0.6135</v>
      </c>
      <c r="I6" s="39">
        <v>0.2562</v>
      </c>
      <c r="J6" s="39">
        <v>0.6733</v>
      </c>
    </row>
    <row r="7" spans="1:10" ht="12.75">
      <c r="A7" s="16">
        <v>-20</v>
      </c>
      <c r="B7" s="16">
        <v>85.956</v>
      </c>
      <c r="C7" s="8">
        <v>77.92</v>
      </c>
      <c r="D7" s="8">
        <v>86.3</v>
      </c>
      <c r="E7" s="8">
        <v>86.14</v>
      </c>
      <c r="F7" s="16">
        <v>-20</v>
      </c>
      <c r="G7" s="39">
        <v>0.48018</v>
      </c>
      <c r="H7" s="39">
        <v>0.6837</v>
      </c>
      <c r="I7" s="39">
        <v>0.2901</v>
      </c>
      <c r="J7" s="39">
        <v>0.7501</v>
      </c>
    </row>
    <row r="8" spans="1:10" ht="12.75">
      <c r="A8" s="16">
        <v>-15</v>
      </c>
      <c r="B8" s="16">
        <v>85.431</v>
      </c>
      <c r="C8" s="8">
        <v>77.37</v>
      </c>
      <c r="D8" s="8">
        <v>85.79</v>
      </c>
      <c r="E8" s="8">
        <v>85.48</v>
      </c>
      <c r="F8" s="16">
        <v>-15</v>
      </c>
      <c r="G8" s="39">
        <v>0.53489</v>
      </c>
      <c r="H8" s="39">
        <v>0.76</v>
      </c>
      <c r="I8" s="39">
        <v>0.3276</v>
      </c>
      <c r="J8" s="39">
        <v>0.8335</v>
      </c>
    </row>
    <row r="9" spans="1:10" ht="12.75">
      <c r="A9" s="16">
        <v>-10</v>
      </c>
      <c r="B9" s="16">
        <v>84.901</v>
      </c>
      <c r="C9" s="8">
        <v>76.81</v>
      </c>
      <c r="D9" s="8">
        <v>85.28</v>
      </c>
      <c r="E9" s="8">
        <v>84.82</v>
      </c>
      <c r="F9" s="16">
        <v>-10</v>
      </c>
      <c r="G9" s="39">
        <v>0.59436</v>
      </c>
      <c r="H9" s="39">
        <v>0.8429</v>
      </c>
      <c r="I9" s="39">
        <v>0.3688</v>
      </c>
      <c r="J9" s="39">
        <v>0.9242</v>
      </c>
    </row>
    <row r="10" spans="1:10" ht="12.75">
      <c r="A10" s="16">
        <v>-5</v>
      </c>
      <c r="B10" s="16">
        <v>84.366</v>
      </c>
      <c r="C10" s="8">
        <v>76.25</v>
      </c>
      <c r="D10" s="8">
        <v>84.76</v>
      </c>
      <c r="E10" s="8">
        <v>84.14</v>
      </c>
      <c r="F10" s="16">
        <v>-5</v>
      </c>
      <c r="G10" s="39">
        <v>0.65887</v>
      </c>
      <c r="H10" s="39">
        <v>0.9329</v>
      </c>
      <c r="I10" s="39">
        <v>0.414</v>
      </c>
      <c r="J10" s="39">
        <v>1.0226</v>
      </c>
    </row>
    <row r="11" spans="1:10" ht="12.75">
      <c r="A11" s="17">
        <v>0</v>
      </c>
      <c r="B11" s="17">
        <v>83.825</v>
      </c>
      <c r="C11" s="9">
        <v>75.68</v>
      </c>
      <c r="D11" s="9">
        <v>84.23</v>
      </c>
      <c r="E11" s="9">
        <v>83.46</v>
      </c>
      <c r="F11" s="17">
        <v>0</v>
      </c>
      <c r="G11" s="40">
        <v>0.72872</v>
      </c>
      <c r="H11" s="40">
        <v>1.0304</v>
      </c>
      <c r="I11" s="40">
        <v>0.4634</v>
      </c>
      <c r="J11" s="40">
        <v>1.1291</v>
      </c>
    </row>
    <row r="12" spans="1:10" ht="12.75">
      <c r="A12" s="16">
        <v>5</v>
      </c>
      <c r="B12" s="16">
        <v>83.277</v>
      </c>
      <c r="C12" s="8">
        <v>75.11</v>
      </c>
      <c r="D12" s="8">
        <v>83.7</v>
      </c>
      <c r="E12" s="8">
        <v>82.78</v>
      </c>
      <c r="F12" s="16">
        <v>5</v>
      </c>
      <c r="G12" s="39">
        <v>0.80422</v>
      </c>
      <c r="H12" s="39">
        <v>1.136</v>
      </c>
      <c r="I12" s="39">
        <v>0.5174</v>
      </c>
      <c r="J12" s="39">
        <v>1.2443</v>
      </c>
    </row>
    <row r="13" spans="1:10" ht="12.75">
      <c r="A13" s="16">
        <v>10</v>
      </c>
      <c r="B13" s="16">
        <v>82.724</v>
      </c>
      <c r="C13" s="8">
        <v>74.53</v>
      </c>
      <c r="D13" s="8">
        <v>83.17</v>
      </c>
      <c r="E13" s="8">
        <v>82.08</v>
      </c>
      <c r="F13" s="16">
        <v>10</v>
      </c>
      <c r="G13" s="39">
        <v>0.88571</v>
      </c>
      <c r="H13" s="39">
        <v>1.2501</v>
      </c>
      <c r="I13" s="39">
        <v>0.5762</v>
      </c>
      <c r="J13" s="39">
        <v>1.3683</v>
      </c>
    </row>
    <row r="14" spans="1:10" ht="12.75">
      <c r="A14" s="16">
        <v>15</v>
      </c>
      <c r="B14" s="16">
        <v>82.164</v>
      </c>
      <c r="C14" s="8">
        <v>73.95</v>
      </c>
      <c r="D14" s="8">
        <v>82.63</v>
      </c>
      <c r="E14" s="8">
        <v>81.38</v>
      </c>
      <c r="F14" s="16">
        <v>15</v>
      </c>
      <c r="G14" s="39">
        <v>0.97352</v>
      </c>
      <c r="H14" s="39">
        <v>1.3734</v>
      </c>
      <c r="I14" s="39">
        <v>0.6402</v>
      </c>
      <c r="J14" s="39">
        <v>1.5021</v>
      </c>
    </row>
    <row r="15" spans="1:10" ht="12.75">
      <c r="A15" s="16">
        <v>20</v>
      </c>
      <c r="B15" s="16">
        <v>81.597</v>
      </c>
      <c r="C15" s="8">
        <v>73.35</v>
      </c>
      <c r="D15" s="8">
        <v>82.08</v>
      </c>
      <c r="E15" s="8">
        <v>80.66</v>
      </c>
      <c r="F15" s="16">
        <v>20</v>
      </c>
      <c r="G15" s="39">
        <v>1.068</v>
      </c>
      <c r="H15" s="39">
        <v>1.5066</v>
      </c>
      <c r="I15" s="39">
        <v>0.7097</v>
      </c>
      <c r="J15" s="39">
        <v>1.6464</v>
      </c>
    </row>
    <row r="16" spans="1:10" ht="12.75">
      <c r="A16" s="16">
        <v>25</v>
      </c>
      <c r="B16" s="16">
        <v>81.023</v>
      </c>
      <c r="C16" s="8">
        <v>72.75</v>
      </c>
      <c r="D16" s="8">
        <v>81.52</v>
      </c>
      <c r="E16" s="8">
        <v>79.94</v>
      </c>
      <c r="F16" s="16">
        <v>25</v>
      </c>
      <c r="G16" s="39">
        <v>1.1696</v>
      </c>
      <c r="H16" s="39">
        <v>1.6502</v>
      </c>
      <c r="I16" s="39">
        <v>0.7851</v>
      </c>
      <c r="J16" s="39">
        <v>1.8018</v>
      </c>
    </row>
    <row r="17" spans="1:10" ht="12.75">
      <c r="A17" s="16">
        <v>30</v>
      </c>
      <c r="B17" s="16">
        <v>80.441</v>
      </c>
      <c r="C17" s="8">
        <v>72.13</v>
      </c>
      <c r="D17" s="8">
        <v>80.96</v>
      </c>
      <c r="E17" s="8">
        <v>79.22</v>
      </c>
      <c r="F17" s="16">
        <v>30</v>
      </c>
      <c r="G17" s="39">
        <v>1.2786</v>
      </c>
      <c r="H17" s="39">
        <v>1.8051</v>
      </c>
      <c r="I17" s="39">
        <v>0.8667</v>
      </c>
      <c r="J17" s="39">
        <v>1.9693</v>
      </c>
    </row>
    <row r="18" spans="1:10" ht="12.75">
      <c r="A18" s="16">
        <v>35</v>
      </c>
      <c r="B18" s="16">
        <v>79.852</v>
      </c>
      <c r="C18" s="8">
        <v>71.51</v>
      </c>
      <c r="D18" s="8">
        <v>80.4</v>
      </c>
      <c r="E18" s="8">
        <v>78.48</v>
      </c>
      <c r="F18" s="16">
        <v>35</v>
      </c>
      <c r="G18" s="39">
        <v>1.3956</v>
      </c>
      <c r="H18" s="39">
        <v>1.972</v>
      </c>
      <c r="I18" s="39">
        <v>0.9549</v>
      </c>
      <c r="J18" s="39">
        <v>2.1495</v>
      </c>
    </row>
    <row r="19" spans="1:10" ht="12.75">
      <c r="A19" s="17">
        <v>40</v>
      </c>
      <c r="B19" s="17">
        <v>79.255</v>
      </c>
      <c r="C19" s="9">
        <v>70.86</v>
      </c>
      <c r="D19" s="9">
        <v>79.82</v>
      </c>
      <c r="E19" s="9">
        <v>77.73</v>
      </c>
      <c r="F19" s="17">
        <v>40</v>
      </c>
      <c r="G19" s="40">
        <v>1.5208</v>
      </c>
      <c r="H19" s="40">
        <v>2.1518</v>
      </c>
      <c r="I19" s="40">
        <v>1.0501</v>
      </c>
      <c r="J19" s="40">
        <v>2.3435</v>
      </c>
    </row>
    <row r="20" spans="1:10" ht="12.75">
      <c r="A20" s="16">
        <v>45</v>
      </c>
      <c r="B20" s="16">
        <v>78.648</v>
      </c>
      <c r="C20" s="8">
        <v>70.2</v>
      </c>
      <c r="D20" s="8">
        <v>79.24</v>
      </c>
      <c r="E20" s="8">
        <v>76.98</v>
      </c>
      <c r="F20" s="16">
        <v>45</v>
      </c>
      <c r="G20" s="39">
        <v>1.6549</v>
      </c>
      <c r="H20" s="39">
        <v>2.3456</v>
      </c>
      <c r="I20" s="39">
        <v>1.1527</v>
      </c>
      <c r="J20" s="39">
        <v>2.5522</v>
      </c>
    </row>
    <row r="21" spans="1:10" ht="12.75">
      <c r="A21" s="16">
        <v>50</v>
      </c>
      <c r="B21" s="16">
        <v>78.033</v>
      </c>
      <c r="C21" s="8">
        <v>69.53</v>
      </c>
      <c r="D21" s="8">
        <v>78.64</v>
      </c>
      <c r="E21" s="8">
        <v>76.22</v>
      </c>
      <c r="F21" s="16">
        <v>50</v>
      </c>
      <c r="G21" s="39">
        <v>1.7984</v>
      </c>
      <c r="H21" s="39">
        <v>2.5544</v>
      </c>
      <c r="I21" s="39">
        <v>1.2633</v>
      </c>
      <c r="J21" s="39">
        <v>2.7768</v>
      </c>
    </row>
    <row r="22" spans="1:10" ht="12.75">
      <c r="A22" s="16">
        <v>55</v>
      </c>
      <c r="B22" s="16">
        <v>77.408</v>
      </c>
      <c r="C22" s="8">
        <v>68.83</v>
      </c>
      <c r="D22" s="8">
        <v>78.04</v>
      </c>
      <c r="E22" s="8">
        <v>75.45</v>
      </c>
      <c r="F22" s="16">
        <v>55</v>
      </c>
      <c r="G22" s="39">
        <v>1.9517</v>
      </c>
      <c r="H22" s="39">
        <v>2.7794</v>
      </c>
      <c r="I22" s="39">
        <v>1.3823</v>
      </c>
      <c r="J22" s="39">
        <v>3.0184</v>
      </c>
    </row>
    <row r="23" spans="1:10" ht="12.75">
      <c r="A23" s="16">
        <v>60</v>
      </c>
      <c r="B23" s="16">
        <v>76.773</v>
      </c>
      <c r="C23" s="8">
        <v>68.11</v>
      </c>
      <c r="D23" s="8">
        <v>77.43</v>
      </c>
      <c r="E23" s="8">
        <v>74.67</v>
      </c>
      <c r="F23" s="16">
        <v>60</v>
      </c>
      <c r="G23" s="39">
        <v>2.1154</v>
      </c>
      <c r="H23" s="39">
        <v>3.0219</v>
      </c>
      <c r="I23" s="39">
        <v>1.5102</v>
      </c>
      <c r="J23" s="39">
        <v>3.2785</v>
      </c>
    </row>
    <row r="24" spans="1:10" ht="12.75">
      <c r="A24" s="16">
        <v>65</v>
      </c>
      <c r="B24" s="16">
        <v>76.126</v>
      </c>
      <c r="C24" s="8">
        <v>67.36</v>
      </c>
      <c r="D24" s="8">
        <v>76.81</v>
      </c>
      <c r="E24" s="8">
        <v>73.88</v>
      </c>
      <c r="F24" s="16">
        <v>65</v>
      </c>
      <c r="G24" s="39">
        <v>2.2903</v>
      </c>
      <c r="H24" s="39">
        <v>3.2834</v>
      </c>
      <c r="I24" s="39">
        <v>1.6477</v>
      </c>
      <c r="J24" s="39">
        <v>3.5585</v>
      </c>
    </row>
    <row r="25" spans="1:10" ht="12.75">
      <c r="A25" s="16">
        <v>70</v>
      </c>
      <c r="B25" s="16">
        <v>75.469</v>
      </c>
      <c r="C25" s="8">
        <v>66.59</v>
      </c>
      <c r="D25" s="8">
        <v>76.18</v>
      </c>
      <c r="E25" s="8">
        <v>73.07</v>
      </c>
      <c r="F25" s="16">
        <v>70</v>
      </c>
      <c r="G25" s="39">
        <v>2.4769</v>
      </c>
      <c r="H25" s="39">
        <v>3.5657</v>
      </c>
      <c r="I25" s="39">
        <v>1.7952</v>
      </c>
      <c r="J25" s="39">
        <v>3.8601</v>
      </c>
    </row>
    <row r="26" spans="1:10" ht="12.75">
      <c r="A26" s="16">
        <v>75</v>
      </c>
      <c r="B26" s="16">
        <v>74.799</v>
      </c>
      <c r="C26" s="8">
        <v>65.78</v>
      </c>
      <c r="D26" s="8">
        <v>75.54</v>
      </c>
      <c r="E26" s="8">
        <v>72.26</v>
      </c>
      <c r="F26" s="16">
        <v>75</v>
      </c>
      <c r="G26" s="39">
        <v>2.676</v>
      </c>
      <c r="H26" s="39">
        <v>3.8707</v>
      </c>
      <c r="I26" s="39">
        <v>1.9536</v>
      </c>
      <c r="J26" s="39">
        <v>4.1852</v>
      </c>
    </row>
    <row r="27" spans="1:10" ht="12.75">
      <c r="A27" s="17">
        <v>80</v>
      </c>
      <c r="B27" s="17">
        <v>74.115</v>
      </c>
      <c r="C27" s="9">
        <v>64.94</v>
      </c>
      <c r="D27" s="9">
        <v>74.89</v>
      </c>
      <c r="E27" s="9">
        <v>71.44</v>
      </c>
      <c r="F27" s="17">
        <v>80</v>
      </c>
      <c r="G27" s="40">
        <v>2.8885</v>
      </c>
      <c r="H27" s="40">
        <v>4.2005</v>
      </c>
      <c r="I27" s="40">
        <v>2.1234</v>
      </c>
      <c r="J27" s="40">
        <v>4.5361</v>
      </c>
    </row>
    <row r="28" spans="1:10" ht="12.75">
      <c r="A28" s="16">
        <v>85</v>
      </c>
      <c r="B28" s="16">
        <v>73.42</v>
      </c>
      <c r="C28" s="8">
        <v>64.05</v>
      </c>
      <c r="D28" s="8">
        <v>74.22</v>
      </c>
      <c r="E28" s="8">
        <v>70.6</v>
      </c>
      <c r="F28" s="16">
        <v>85</v>
      </c>
      <c r="G28" s="39">
        <v>3.1151</v>
      </c>
      <c r="H28" s="39">
        <v>4.5578</v>
      </c>
      <c r="I28" s="39">
        <v>2.3056</v>
      </c>
      <c r="J28" s="39">
        <v>4.9152</v>
      </c>
    </row>
    <row r="29" spans="1:10" ht="12.75">
      <c r="A29" s="16">
        <v>90</v>
      </c>
      <c r="B29" s="16">
        <v>72.708</v>
      </c>
      <c r="C29" s="8">
        <v>63.12</v>
      </c>
      <c r="D29" s="8">
        <v>73.54</v>
      </c>
      <c r="E29" s="8">
        <v>69.76</v>
      </c>
      <c r="F29" s="16">
        <v>90</v>
      </c>
      <c r="G29" s="39">
        <v>3.357</v>
      </c>
      <c r="H29" s="39">
        <v>4.9454</v>
      </c>
      <c r="I29" s="39">
        <v>2.5009</v>
      </c>
      <c r="J29" s="39">
        <v>5.3253</v>
      </c>
    </row>
    <row r="30" spans="1:10" ht="12.75">
      <c r="A30" s="16">
        <v>95</v>
      </c>
      <c r="B30" s="16">
        <v>71.98</v>
      </c>
      <c r="C30" s="8">
        <v>62.14</v>
      </c>
      <c r="D30" s="8">
        <v>72.84</v>
      </c>
      <c r="E30" s="8">
        <v>68.9</v>
      </c>
      <c r="F30" s="16">
        <v>95</v>
      </c>
      <c r="G30" s="39">
        <v>3.6151</v>
      </c>
      <c r="H30" s="39">
        <v>5.3668</v>
      </c>
      <c r="I30" s="39">
        <v>2.7102</v>
      </c>
      <c r="J30" s="39">
        <v>5.7699</v>
      </c>
    </row>
    <row r="31" spans="1:10" ht="12.75">
      <c r="A31" s="16">
        <v>100</v>
      </c>
      <c r="B31" s="16">
        <v>71.236</v>
      </c>
      <c r="C31" s="8">
        <v>61.1</v>
      </c>
      <c r="D31" s="8">
        <v>72.13</v>
      </c>
      <c r="E31" s="8">
        <v>68.02</v>
      </c>
      <c r="F31" s="16">
        <v>100</v>
      </c>
      <c r="G31" s="39">
        <v>3.8907</v>
      </c>
      <c r="H31" s="39">
        <v>5.8262</v>
      </c>
      <c r="I31" s="39">
        <v>2.9347</v>
      </c>
      <c r="J31" s="39">
        <v>6.2529</v>
      </c>
    </row>
    <row r="32" spans="1:10" ht="12.75">
      <c r="A32" s="16">
        <v>105</v>
      </c>
      <c r="B32" s="16">
        <v>70.472</v>
      </c>
      <c r="C32" s="8">
        <v>60</v>
      </c>
      <c r="D32" s="8">
        <v>71.4</v>
      </c>
      <c r="E32" s="8">
        <v>67.14</v>
      </c>
      <c r="F32" s="16">
        <v>105</v>
      </c>
      <c r="G32" s="39">
        <v>4.1852</v>
      </c>
      <c r="H32" s="39">
        <v>6.3285</v>
      </c>
      <c r="I32" s="39">
        <v>3.1754</v>
      </c>
      <c r="J32" s="39">
        <v>6.7789</v>
      </c>
    </row>
    <row r="33" spans="1:10" ht="12.75">
      <c r="A33" s="16">
        <v>110</v>
      </c>
      <c r="B33" s="16">
        <v>69.689</v>
      </c>
      <c r="C33" s="8">
        <v>58.83</v>
      </c>
      <c r="D33" s="8">
        <v>70.66</v>
      </c>
      <c r="E33" s="8">
        <v>66.23</v>
      </c>
      <c r="F33" s="16">
        <v>110</v>
      </c>
      <c r="G33" s="39">
        <v>4.5</v>
      </c>
      <c r="H33" s="39">
        <v>6.8797</v>
      </c>
      <c r="I33" s="39">
        <v>3.4337</v>
      </c>
      <c r="J33" s="39">
        <v>7.3536</v>
      </c>
    </row>
    <row r="34" spans="1:10" ht="12.75">
      <c r="A34" s="16">
        <v>115</v>
      </c>
      <c r="B34" s="16">
        <v>68.883</v>
      </c>
      <c r="C34" s="8">
        <v>57.57</v>
      </c>
      <c r="D34" s="8">
        <v>69.89</v>
      </c>
      <c r="E34" s="8">
        <v>65.31</v>
      </c>
      <c r="F34" s="16">
        <v>115</v>
      </c>
      <c r="G34" s="39">
        <v>4.837</v>
      </c>
      <c r="H34" s="39">
        <v>7.4874</v>
      </c>
      <c r="I34" s="39">
        <v>3.711</v>
      </c>
      <c r="J34" s="39">
        <v>7.9837</v>
      </c>
    </row>
    <row r="35" spans="1:10" ht="12.75">
      <c r="A35" s="17">
        <v>120</v>
      </c>
      <c r="B35" s="17">
        <v>68.054</v>
      </c>
      <c r="C35" s="9">
        <v>56.22</v>
      </c>
      <c r="D35" s="9">
        <v>69.1</v>
      </c>
      <c r="E35" s="9">
        <v>64.36</v>
      </c>
      <c r="F35" s="17">
        <v>120</v>
      </c>
      <c r="G35" s="40">
        <v>5.1981</v>
      </c>
      <c r="H35" s="40">
        <v>8.1611</v>
      </c>
      <c r="I35" s="40">
        <v>4.0089</v>
      </c>
      <c r="J35" s="40">
        <v>8.6779</v>
      </c>
    </row>
    <row r="36" spans="1:10" ht="12.75">
      <c r="A36" s="16">
        <v>125</v>
      </c>
      <c r="B36" s="16">
        <v>67.197</v>
      </c>
      <c r="C36" s="8">
        <v>54.76</v>
      </c>
      <c r="D36" s="8">
        <v>68.29</v>
      </c>
      <c r="E36" s="8">
        <v>63.4</v>
      </c>
      <c r="F36" s="16">
        <v>125</v>
      </c>
      <c r="G36" s="39">
        <v>5.5856</v>
      </c>
      <c r="H36" s="39">
        <v>8.9132</v>
      </c>
      <c r="I36" s="39">
        <v>4.3294</v>
      </c>
      <c r="J36" s="39">
        <v>9.447</v>
      </c>
    </row>
    <row r="37" spans="1:10" ht="12.75">
      <c r="A37" s="16">
        <v>130</v>
      </c>
      <c r="B37" s="16">
        <v>66.312</v>
      </c>
      <c r="C37" s="8">
        <v>53.18</v>
      </c>
      <c r="D37" s="8">
        <v>67.46</v>
      </c>
      <c r="E37" s="8">
        <v>62.4</v>
      </c>
      <c r="F37" s="16">
        <v>130</v>
      </c>
      <c r="G37" s="39">
        <v>6.0022</v>
      </c>
      <c r="H37" s="39">
        <v>9.7602</v>
      </c>
      <c r="I37" s="39">
        <v>4.6745</v>
      </c>
      <c r="J37" s="39">
        <v>10.305</v>
      </c>
    </row>
    <row r="38" spans="1:10" ht="12.75">
      <c r="A38" s="16">
        <v>135</v>
      </c>
      <c r="B38" s="16">
        <v>65.394</v>
      </c>
      <c r="C38" s="8">
        <v>51.43</v>
      </c>
      <c r="D38" s="8">
        <v>66.6</v>
      </c>
      <c r="E38" s="8">
        <v>61.37</v>
      </c>
      <c r="F38" s="16">
        <v>135</v>
      </c>
      <c r="G38" s="39">
        <v>6.451</v>
      </c>
      <c r="H38" s="39">
        <v>10.7254</v>
      </c>
      <c r="I38" s="39">
        <v>5.0468</v>
      </c>
      <c r="J38" s="39">
        <v>11.2709</v>
      </c>
    </row>
    <row r="39" spans="1:10" ht="12.75">
      <c r="A39" s="16">
        <v>140</v>
      </c>
      <c r="B39" s="16">
        <v>64.44</v>
      </c>
      <c r="C39" s="8">
        <v>49.5</v>
      </c>
      <c r="D39" s="8">
        <v>65.7</v>
      </c>
      <c r="E39" s="8">
        <v>60.29</v>
      </c>
      <c r="F39" s="16">
        <v>140</v>
      </c>
      <c r="G39" s="39">
        <v>6.936</v>
      </c>
      <c r="H39" s="39">
        <v>11.843</v>
      </c>
      <c r="I39" s="39">
        <v>5.4491</v>
      </c>
      <c r="J39" s="39">
        <v>12.3713</v>
      </c>
    </row>
    <row r="40" spans="1:10" ht="12.75">
      <c r="A40" s="16">
        <v>145</v>
      </c>
      <c r="B40" s="16">
        <v>63.445</v>
      </c>
      <c r="C40" s="8">
        <v>47.32</v>
      </c>
      <c r="D40" s="8">
        <v>64.78</v>
      </c>
      <c r="E40" s="8">
        <v>59.16</v>
      </c>
      <c r="F40" s="16">
        <v>145</v>
      </c>
      <c r="G40" s="39">
        <v>7.4615</v>
      </c>
      <c r="H40" s="39">
        <v>13.1673</v>
      </c>
      <c r="I40" s="39">
        <v>5.8849</v>
      </c>
      <c r="J40" s="39">
        <v>13.6455</v>
      </c>
    </row>
    <row r="41" spans="1:10" ht="13.5" thickBot="1">
      <c r="A41" s="18">
        <v>150</v>
      </c>
      <c r="B41" s="18">
        <v>62.402</v>
      </c>
      <c r="C41" s="11">
        <v>44.79</v>
      </c>
      <c r="D41" s="11">
        <v>63.81</v>
      </c>
      <c r="E41" s="11">
        <v>57.94</v>
      </c>
      <c r="F41" s="18">
        <v>150</v>
      </c>
      <c r="G41" s="41">
        <v>8.0331</v>
      </c>
      <c r="H41" s="41">
        <v>14.7948</v>
      </c>
      <c r="I41" s="41">
        <v>6.3584</v>
      </c>
      <c r="J41" s="41">
        <v>15.156</v>
      </c>
    </row>
    <row r="42" spans="1:10" ht="15" thickBot="1" thickTop="1">
      <c r="A42" s="20">
        <v>200</v>
      </c>
      <c r="B42" s="19">
        <v>0</v>
      </c>
      <c r="C42" s="19">
        <v>0</v>
      </c>
      <c r="D42" s="19">
        <v>0</v>
      </c>
      <c r="E42" s="19">
        <v>0</v>
      </c>
      <c r="F42" s="20">
        <v>200</v>
      </c>
      <c r="G42" s="19">
        <v>0</v>
      </c>
      <c r="H42" s="19">
        <v>0</v>
      </c>
      <c r="I42" s="19">
        <v>0</v>
      </c>
      <c r="J42" s="19">
        <v>0</v>
      </c>
    </row>
    <row r="43" ht="13.5" thickTop="1"/>
  </sheetData>
  <sheetProtection/>
  <mergeCells count="2">
    <mergeCell ref="B1:E1"/>
    <mergeCell ref="G1:J1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Wakefern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enr1j</dc:creator>
  <cp:keywords/>
  <dc:description/>
  <cp:lastModifiedBy>Microsoft Office User</cp:lastModifiedBy>
  <cp:lastPrinted>2010-08-17T20:51:37Z</cp:lastPrinted>
  <dcterms:created xsi:type="dcterms:W3CDTF">2010-08-10T12:12:44Z</dcterms:created>
  <dcterms:modified xsi:type="dcterms:W3CDTF">2021-09-21T12:35:33Z</dcterms:modified>
  <cp:category/>
  <cp:version/>
  <cp:contentType/>
  <cp:contentStatus/>
</cp:coreProperties>
</file>